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88" windowWidth="14976" windowHeight="6480" activeTab="0"/>
  </bookViews>
  <sheets>
    <sheet name="2017-ST-NI" sheetId="1" r:id="rId1"/>
  </sheets>
  <definedNames>
    <definedName name="_xlnm.Print_Area" localSheetId="0">'2017-ST-NI'!$A$1:$Y$80</definedName>
    <definedName name="Production">'2017-ST-NI'!$AH$4:$AH$5</definedName>
    <definedName name="row">'2017-ST-NI'!$AI$4:$AI$6</definedName>
    <definedName name="Technology">'2017-ST-NI'!$AF$5:$AF$8</definedName>
    <definedName name="Tillage">'2017-ST-NI'!$AG$4:$AG$6</definedName>
  </definedNames>
  <calcPr fullCalcOnLoad="1"/>
</workbook>
</file>

<file path=xl/sharedStrings.xml><?xml version="1.0" encoding="utf-8"?>
<sst xmlns="http://schemas.openxmlformats.org/spreadsheetml/2006/main" count="191" uniqueCount="146">
  <si>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</si>
  <si>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</si>
  <si>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</si>
  <si>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</si>
  <si>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</si>
  <si>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</si>
  <si>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</si>
  <si>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</si>
  <si>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</si>
  <si>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</si>
  <si>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</si>
  <si>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</si>
  <si>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</si>
  <si>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</si>
  <si>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</si>
  <si>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</si>
  <si>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</si>
  <si>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</si>
  <si>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</si>
  <si>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</si>
  <si>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</si>
  <si>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</si>
  <si>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</si>
  <si>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</si>
  <si>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</si>
  <si>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</si>
  <si>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</si>
  <si>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</si>
  <si>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</si>
  <si>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</si>
  <si>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</si>
  <si>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</si>
  <si>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</si>
  <si>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</si>
  <si>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</si>
  <si>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</si>
  <si>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</si>
  <si>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</si>
  <si>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</si>
  <si>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</si>
  <si>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</si>
  <si>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</si>
  <si>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</si>
  <si>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</si>
  <si>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</si>
  <si>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</si>
  <si>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</si>
  <si>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</si>
  <si>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</si>
  <si>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</si>
  <si>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</si>
  <si>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</si>
  <si>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</si>
  <si>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</si>
  <si>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</si>
  <si>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</si>
  <si>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</si>
  <si>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</si>
  <si>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</si>
  <si>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</si>
  <si>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</si>
  <si>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</si>
  <si>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</si>
  <si>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</si>
  <si>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</si>
  <si>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</si>
  <si>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</si>
  <si>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</si>
  <si>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</si>
  <si>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</si>
  <si>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</si>
  <si>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</si>
  <si>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</si>
  <si>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</si>
  <si>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</si>
  <si>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</si>
  <si>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</si>
  <si>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</si>
  <si>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</si>
  <si>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</si>
  <si>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</si>
  <si>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</si>
  <si>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</si>
  <si>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</si>
  <si>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</si>
  <si>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</si>
  <si>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</si>
  <si>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</si>
  <si>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</si>
  <si>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</si>
  <si>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Developed by Don Shurley and Amanda Smith, Department of Agricultural and Applied Economics, University of Georgia.</t>
  </si>
  <si>
    <t>Developed by Don Shurley and Amanda Smith</t>
  </si>
  <si>
    <t>COTTON- Strip-Till,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</si>
  <si>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</si>
  <si>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</si>
  <si>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</si>
  <si>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</si>
  <si>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</si>
  <si>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</si>
  <si>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</si>
  <si>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</si>
  <si>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</si>
  <si>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</si>
  <si>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</si>
  <si>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</si>
  <si>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</si>
  <si>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</si>
  <si>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</si>
  <si>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</si>
  <si>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</si>
  <si>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</si>
  <si>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</si>
  <si>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</si>
  <si>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</si>
  <si>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</si>
  <si>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</si>
  <si>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</si>
  <si>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</si>
  <si>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</si>
  <si>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</si>
  <si>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</si>
  <si>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</si>
  <si>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</si>
  <si>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</si>
  <si>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</si>
  <si>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</si>
  <si>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</si>
  <si>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</si>
  <si>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</si>
  <si>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</si>
  <si>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</si>
  <si>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</si>
  <si>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</si>
  <si>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2017 ESTIMATED PER ACRE COSTS AND RETURNS, SOUTH AND EAST GEORGIA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</si>
  <si>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</si>
  <si>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</si>
  <si>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</si>
  <si>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** Planning or budget price based on futures prices and outlook as of February 2017.  Includes adjustments for fiber quality.</t>
  </si>
  <si>
    <t>February 2017</t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</si>
  <si>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</si>
  <si>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</si>
  <si>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</si>
  <si>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</si>
  <si>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</si>
  <si>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</si>
  <si>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 xml:space="preserve">* This does not constitute a recommendation of technologies.  These were the technologies most widely planted in GA in 2016.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</si>
</sst>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166" fontId="58" fillId="33" borderId="0" xfId="0" applyNumberFormat="1" applyFont="1" applyFill="1" applyAlignment="1" applyProtection="1">
      <alignment/>
      <protection/>
    </xf>
    <xf numFmtId="2" fontId="58" fillId="35" borderId="0" xfId="0" applyNumberFormat="1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/>
      <protection locked="0"/>
    </xf>
    <xf numFmtId="188" fontId="12" fillId="35" borderId="10" xfId="45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164" fontId="10" fillId="35" borderId="10" xfId="0" applyNumberFormat="1" applyFont="1" applyFill="1" applyBorder="1" applyAlignment="1" applyProtection="1">
      <alignment/>
      <protection locked="0"/>
    </xf>
    <xf numFmtId="2" fontId="10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1" fontId="10" fillId="35" borderId="10" xfId="0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2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right" vertical="center"/>
      <protection locked="0"/>
    </xf>
    <xf numFmtId="165" fontId="5" fillId="35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 locked="0"/>
    </xf>
    <xf numFmtId="10" fontId="5" fillId="35" borderId="10" xfId="62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9" fontId="5" fillId="35" borderId="10" xfId="62" applyFont="1" applyFill="1" applyBorder="1" applyAlignment="1" applyProtection="1">
      <alignment horizontal="right" vertical="center"/>
      <protection locked="0"/>
    </xf>
    <xf numFmtId="181" fontId="5" fillId="35" borderId="10" xfId="62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left"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6" fillId="37" borderId="13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6" fillId="37" borderId="15" xfId="0" applyFont="1" applyFill="1" applyBorder="1" applyAlignment="1" applyProtection="1">
      <alignment horizontal="right" vertical="center"/>
      <protection/>
    </xf>
    <xf numFmtId="0" fontId="0" fillId="37" borderId="13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15" xfId="0" applyFont="1" applyFill="1" applyBorder="1" applyAlignment="1" applyProtection="1">
      <alignment/>
      <protection/>
    </xf>
    <xf numFmtId="0" fontId="5" fillId="37" borderId="13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6" fillId="37" borderId="15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3" fontId="6" fillId="37" borderId="12" xfId="42" applyNumberFormat="1" applyFont="1" applyFill="1" applyBorder="1" applyAlignment="1" applyProtection="1">
      <alignment horizontal="right" vertical="center"/>
      <protection/>
    </xf>
    <xf numFmtId="0" fontId="0" fillId="37" borderId="16" xfId="0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 horizontal="right" vertical="center"/>
      <protection/>
    </xf>
    <xf numFmtId="2" fontId="6" fillId="37" borderId="16" xfId="0" applyNumberFormat="1" applyFont="1" applyFill="1" applyBorder="1" applyAlignment="1" applyProtection="1">
      <alignment horizontal="right" vertical="center"/>
      <protection/>
    </xf>
    <xf numFmtId="0" fontId="6" fillId="37" borderId="17" xfId="0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16" xfId="0" applyNumberFormat="1" applyFont="1" applyFill="1" applyBorder="1" applyAlignment="1" applyProtection="1">
      <alignment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168" fontId="6" fillId="37" borderId="18" xfId="0" applyNumberFormat="1" applyFont="1" applyFill="1" applyBorder="1" applyAlignment="1" applyProtection="1">
      <alignment horizontal="right" vertical="center"/>
      <protection/>
    </xf>
    <xf numFmtId="4" fontId="6" fillId="37" borderId="12" xfId="0" applyNumberFormat="1" applyFont="1" applyFill="1" applyBorder="1" applyAlignment="1" applyProtection="1">
      <alignment horizontal="right" vertical="center"/>
      <protection/>
    </xf>
    <xf numFmtId="2" fontId="6" fillId="37" borderId="12" xfId="0" applyNumberFormat="1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 horizontal="right" vertical="center"/>
      <protection/>
    </xf>
    <xf numFmtId="0" fontId="6" fillId="37" borderId="18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/>
      <protection/>
    </xf>
    <xf numFmtId="0" fontId="5" fillId="37" borderId="15" xfId="0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/>
      <protection/>
    </xf>
    <xf numFmtId="0" fontId="6" fillId="37" borderId="18" xfId="0" applyFont="1" applyFill="1" applyBorder="1" applyAlignment="1" applyProtection="1">
      <alignment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6" fillId="37" borderId="11" xfId="0" applyFont="1" applyFill="1" applyBorder="1" applyAlignment="1" applyProtection="1">
      <alignment horizontal="left" vertical="center"/>
      <protection/>
    </xf>
    <xf numFmtId="168" fontId="5" fillId="37" borderId="15" xfId="0" applyNumberFormat="1" applyFont="1" applyFill="1" applyBorder="1" applyAlignment="1" applyProtection="1">
      <alignment horizontal="right" vertical="center"/>
      <protection/>
    </xf>
    <xf numFmtId="0" fontId="0" fillId="37" borderId="13" xfId="59" applyFont="1" applyFill="1" applyBorder="1" applyAlignment="1" applyProtection="1">
      <alignment horizontal="lef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15" fillId="38" borderId="13" xfId="59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/>
      <protection/>
    </xf>
    <xf numFmtId="16" fontId="15" fillId="38" borderId="13" xfId="59" applyNumberFormat="1" applyFont="1" applyFill="1" applyBorder="1" applyAlignment="1" applyProtection="1" quotePrefix="1">
      <alignment horizontal="left" vertical="center"/>
      <protection/>
    </xf>
    <xf numFmtId="0" fontId="0" fillId="37" borderId="15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0" fontId="0" fillId="37" borderId="19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164" fontId="0" fillId="37" borderId="15" xfId="0" applyNumberFormat="1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/>
      <protection/>
    </xf>
    <xf numFmtId="2" fontId="0" fillId="37" borderId="17" xfId="0" applyNumberFormat="1" applyFont="1" applyFill="1" applyBorder="1" applyAlignment="1" applyProtection="1">
      <alignment/>
      <protection/>
    </xf>
    <xf numFmtId="164" fontId="1" fillId="37" borderId="18" xfId="0" applyNumberFormat="1" applyFont="1" applyFill="1" applyBorder="1" applyAlignment="1" applyProtection="1">
      <alignment/>
      <protection/>
    </xf>
    <xf numFmtId="1" fontId="1" fillId="37" borderId="18" xfId="0" applyNumberFormat="1" applyFont="1" applyFill="1" applyBorder="1" applyAlignment="1" applyProtection="1">
      <alignment/>
      <protection/>
    </xf>
    <xf numFmtId="2" fontId="1" fillId="37" borderId="18" xfId="0" applyNumberFormat="1" applyFont="1" applyFill="1" applyBorder="1" applyAlignment="1" applyProtection="1">
      <alignment/>
      <protection/>
    </xf>
    <xf numFmtId="2" fontId="1" fillId="37" borderId="12" xfId="0" applyNumberFormat="1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1" fontId="0" fillId="37" borderId="18" xfId="0" applyNumberFormat="1" applyFont="1" applyFill="1" applyBorder="1" applyAlignment="1" applyProtection="1">
      <alignment/>
      <protection/>
    </xf>
    <xf numFmtId="2" fontId="0" fillId="37" borderId="12" xfId="0" applyNumberFormat="1" applyFont="1" applyFill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/>
      <protection/>
    </xf>
    <xf numFmtId="165" fontId="0" fillId="37" borderId="18" xfId="0" applyNumberFormat="1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7" borderId="18" xfId="0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/>
      <protection/>
    </xf>
    <xf numFmtId="0" fontId="11" fillId="37" borderId="14" xfId="0" applyFont="1" applyFill="1" applyBorder="1" applyAlignment="1" applyProtection="1">
      <alignment/>
      <protection/>
    </xf>
    <xf numFmtId="0" fontId="10" fillId="37" borderId="15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right"/>
      <protection/>
    </xf>
    <xf numFmtId="0" fontId="11" fillId="37" borderId="15" xfId="0" applyFont="1" applyFill="1" applyBorder="1" applyAlignment="1" applyProtection="1">
      <alignment horizontal="right"/>
      <protection/>
    </xf>
    <xf numFmtId="0" fontId="13" fillId="37" borderId="18" xfId="0" applyFont="1" applyFill="1" applyBorder="1" applyAlignment="1" applyProtection="1">
      <alignment/>
      <protection/>
    </xf>
    <xf numFmtId="0" fontId="13" fillId="37" borderId="12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1" fontId="10" fillId="37" borderId="10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2" fontId="10" fillId="37" borderId="10" xfId="0" applyNumberFormat="1" applyFont="1" applyFill="1" applyBorder="1" applyAlignment="1" applyProtection="1">
      <alignment/>
      <protection/>
    </xf>
    <xf numFmtId="2" fontId="11" fillId="37" borderId="18" xfId="0" applyNumberFormat="1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 horizontal="right"/>
      <protection/>
    </xf>
    <xf numFmtId="165" fontId="10" fillId="37" borderId="10" xfId="0" applyNumberFormat="1" applyFont="1" applyFill="1" applyBorder="1" applyAlignment="1" applyProtection="1">
      <alignment/>
      <protection/>
    </xf>
    <xf numFmtId="1" fontId="11" fillId="37" borderId="18" xfId="0" applyNumberFormat="1" applyFont="1" applyFill="1" applyBorder="1" applyAlignment="1" applyProtection="1">
      <alignment/>
      <protection/>
    </xf>
    <xf numFmtId="165" fontId="11" fillId="37" borderId="18" xfId="0" applyNumberFormat="1" applyFont="1" applyFill="1" applyBorder="1" applyAlignment="1" applyProtection="1">
      <alignment/>
      <protection/>
    </xf>
    <xf numFmtId="2" fontId="11" fillId="37" borderId="12" xfId="0" applyNumberFormat="1" applyFont="1" applyFill="1" applyBorder="1" applyAlignment="1" applyProtection="1">
      <alignment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2" fontId="5" fillId="37" borderId="18" xfId="0" applyNumberFormat="1" applyFont="1" applyFill="1" applyBorder="1" applyAlignment="1" applyProtection="1">
      <alignment horizontal="right" vertical="center"/>
      <protection/>
    </xf>
    <xf numFmtId="0" fontId="0" fillId="37" borderId="13" xfId="59" applyFill="1" applyBorder="1" applyProtection="1">
      <alignment/>
      <protection/>
    </xf>
    <xf numFmtId="0" fontId="15" fillId="37" borderId="14" xfId="59" applyFont="1" applyFill="1" applyBorder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7" borderId="21" xfId="0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horizontal="left" vertical="center"/>
      <protection/>
    </xf>
    <xf numFmtId="0" fontId="19" fillId="37" borderId="14" xfId="0" applyFont="1" applyFill="1" applyBorder="1" applyAlignment="1" applyProtection="1">
      <alignment horizontal="center" vertical="center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165" fontId="1" fillId="37" borderId="1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8E95.0D87A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64</xdr:row>
      <xdr:rowOff>104775</xdr:rowOff>
    </xdr:from>
    <xdr:to>
      <xdr:col>7</xdr:col>
      <xdr:colOff>942975</xdr:colOff>
      <xdr:row>67</xdr:row>
      <xdr:rowOff>133350</xdr:rowOff>
    </xdr:to>
    <xdr:pic>
      <xdr:nvPicPr>
        <xdr:cNvPr id="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0" y="112014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114300</xdr:rowOff>
    </xdr:to>
    <xdr:pic>
      <xdr:nvPicPr>
        <xdr:cNvPr id="2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030200" y="10163175"/>
          <a:ext cx="2047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04" t="s">
        <v>92</v>
      </c>
      <c r="B1" s="205"/>
      <c r="C1" s="205"/>
      <c r="D1" s="205"/>
      <c r="E1" s="205"/>
      <c r="F1" s="205"/>
      <c r="G1" s="205"/>
      <c r="H1" s="206"/>
      <c r="I1" s="47"/>
      <c r="J1" s="224" t="s">
        <v>92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6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08" t="s">
        <v>133</v>
      </c>
      <c r="B2" s="209"/>
      <c r="C2" s="209"/>
      <c r="D2" s="209"/>
      <c r="E2" s="209"/>
      <c r="F2" s="209"/>
      <c r="G2" s="209"/>
      <c r="H2" s="210"/>
      <c r="I2" s="47"/>
      <c r="J2" s="227" t="s">
        <v>133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9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83" t="s">
        <v>36</v>
      </c>
      <c r="B3" s="84" t="s">
        <v>134</v>
      </c>
      <c r="C3" s="85"/>
      <c r="D3" s="84"/>
      <c r="E3" s="90"/>
      <c r="F3" s="84" t="s">
        <v>42</v>
      </c>
      <c r="G3" s="93"/>
      <c r="H3" s="70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83" t="s">
        <v>35</v>
      </c>
      <c r="B4" s="84" t="s">
        <v>37</v>
      </c>
      <c r="C4" s="84"/>
      <c r="D4" s="86"/>
      <c r="E4" s="90"/>
      <c r="F4" s="84" t="s">
        <v>43</v>
      </c>
      <c r="G4" s="93"/>
      <c r="H4" s="71">
        <v>2.75</v>
      </c>
      <c r="I4" s="3"/>
      <c r="J4" s="49"/>
      <c r="K4" s="49"/>
      <c r="L4" s="197" t="s">
        <v>124</v>
      </c>
      <c r="M4" s="197"/>
      <c r="N4" s="197"/>
      <c r="O4" s="197"/>
      <c r="P4" s="197"/>
      <c r="Q4" s="197"/>
      <c r="R4" s="197"/>
      <c r="S4" s="197"/>
      <c r="T4" s="197"/>
      <c r="U4" s="197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87" t="s">
        <v>34</v>
      </c>
      <c r="B5" s="207" t="s">
        <v>38</v>
      </c>
      <c r="C5" s="207"/>
      <c r="D5" s="88"/>
      <c r="E5" s="97"/>
      <c r="F5" s="98" t="s">
        <v>113</v>
      </c>
      <c r="G5" s="98"/>
      <c r="H5" s="100">
        <f>208.71*$H$4*(208.71/($H$3/12))</f>
        <v>39929.875425000006</v>
      </c>
      <c r="I5" s="3"/>
      <c r="J5" s="45" t="s">
        <v>96</v>
      </c>
      <c r="K5" s="56">
        <f>SUM(G12:G41)</f>
        <v>392.95415453091084</v>
      </c>
      <c r="L5" s="137"/>
      <c r="M5" s="230">
        <f>+P5-0.05</f>
        <v>0.6749999999999999</v>
      </c>
      <c r="N5" s="230"/>
      <c r="O5" s="230"/>
      <c r="P5" s="230">
        <f>+F8</f>
        <v>0.725</v>
      </c>
      <c r="Q5" s="230"/>
      <c r="R5" s="230"/>
      <c r="S5" s="230">
        <f>+P5+0.05</f>
        <v>0.775</v>
      </c>
      <c r="T5" s="230"/>
      <c r="U5" s="230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89"/>
      <c r="B6" s="90"/>
      <c r="C6" s="90"/>
      <c r="D6" s="90"/>
      <c r="E6" s="90"/>
      <c r="F6" s="90"/>
      <c r="G6" s="90"/>
      <c r="H6" s="101"/>
      <c r="I6" s="3"/>
      <c r="J6" s="54"/>
      <c r="K6" s="57">
        <f>SUM(H44:H49)</f>
        <v>0.5298387096774196</v>
      </c>
      <c r="L6" s="138" t="s">
        <v>112</v>
      </c>
      <c r="M6" s="139">
        <f>+P6</f>
        <v>650</v>
      </c>
      <c r="N6" s="139">
        <f>+Q6</f>
        <v>750</v>
      </c>
      <c r="O6" s="139">
        <f>+R6</f>
        <v>850</v>
      </c>
      <c r="P6" s="139">
        <f>+Q6-100</f>
        <v>650</v>
      </c>
      <c r="Q6" s="139">
        <f>+E8</f>
        <v>750</v>
      </c>
      <c r="R6" s="139">
        <f>+Q6+100</f>
        <v>850</v>
      </c>
      <c r="S6" s="139">
        <f>+P6</f>
        <v>650</v>
      </c>
      <c r="T6" s="139">
        <f>+Q6</f>
        <v>750</v>
      </c>
      <c r="U6" s="139">
        <f>+R6</f>
        <v>850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91"/>
      <c r="B7" s="92"/>
      <c r="C7" s="92"/>
      <c r="D7" s="93"/>
      <c r="E7" s="99" t="s">
        <v>39</v>
      </c>
      <c r="F7" s="99" t="s">
        <v>132</v>
      </c>
      <c r="G7" s="99" t="s">
        <v>40</v>
      </c>
      <c r="H7" s="102" t="s">
        <v>45</v>
      </c>
      <c r="I7" s="3"/>
      <c r="J7" s="45" t="s">
        <v>97</v>
      </c>
      <c r="K7" s="58">
        <f>+($K$5+L7)*(1+$F$42/12*$C$42)</f>
        <v>457.3501645531654</v>
      </c>
      <c r="L7" s="60">
        <v>50</v>
      </c>
      <c r="M7" s="140">
        <f>+$M$5*$M$6-K7-$M$12</f>
        <v>-22.04411616606871</v>
      </c>
      <c r="N7" s="140">
        <f>+M5*N6-K7-N12</f>
        <v>44.92604512425387</v>
      </c>
      <c r="O7" s="140">
        <f>+M5*O6-K7-O12</f>
        <v>111.89620641457651</v>
      </c>
      <c r="P7" s="140">
        <f>+P5*P6-K7-P12</f>
        <v>10.455883833931345</v>
      </c>
      <c r="Q7" s="140">
        <f>+P5*Q6-K7-Q12</f>
        <v>82.42604512425393</v>
      </c>
      <c r="R7" s="140">
        <f>+P5*R6-K7-R12</f>
        <v>154.3962064145765</v>
      </c>
      <c r="S7" s="140">
        <f>+S5*S6-K7-S12</f>
        <v>42.955883833931345</v>
      </c>
      <c r="T7" s="140">
        <f>+T6*S5-K7-T12</f>
        <v>119.92604512425393</v>
      </c>
      <c r="U7" s="140">
        <f>+U6*S5-K7-U12</f>
        <v>196.8962064145765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83" t="s">
        <v>95</v>
      </c>
      <c r="B8" s="92"/>
      <c r="C8" s="92"/>
      <c r="D8" s="93"/>
      <c r="E8" s="72">
        <v>750</v>
      </c>
      <c r="F8" s="73">
        <v>0.725</v>
      </c>
      <c r="G8" s="106">
        <f>+E8*F8</f>
        <v>543.75</v>
      </c>
      <c r="H8" s="103">
        <f>+G8/E8*100</f>
        <v>72.5</v>
      </c>
      <c r="I8" s="3"/>
      <c r="J8" s="45" t="s">
        <v>98</v>
      </c>
      <c r="K8" s="58">
        <f>+($K$5+L8)*(1+$F$42/12*$C$42)</f>
        <v>483.1626645531654</v>
      </c>
      <c r="L8" s="60">
        <v>75</v>
      </c>
      <c r="M8" s="140">
        <f>+$M$5*$M$6-K8-$M$12</f>
        <v>-47.85661616606871</v>
      </c>
      <c r="N8" s="140">
        <f>+N6*M5-K8-N12</f>
        <v>19.113545124253868</v>
      </c>
      <c r="O8" s="140">
        <f>+O6*M5-K8-O12</f>
        <v>86.08370641457651</v>
      </c>
      <c r="P8" s="140">
        <f>+P6*P5-K8-P12</f>
        <v>-15.356616166068655</v>
      </c>
      <c r="Q8" s="140">
        <f>+Q6*P5-K8-Q12</f>
        <v>56.613545124253925</v>
      </c>
      <c r="R8" s="140">
        <f>+R6*P5-K8-R12</f>
        <v>128.5837064145765</v>
      </c>
      <c r="S8" s="140">
        <f>+S6*S5-K8-S12</f>
        <v>17.143383833931345</v>
      </c>
      <c r="T8" s="140">
        <f>+T6*S5-K8-T12</f>
        <v>94.11354512425393</v>
      </c>
      <c r="U8" s="140">
        <f>+U6*S5-K8-U12</f>
        <v>171.0837064145765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89"/>
      <c r="B9" s="90"/>
      <c r="C9" s="90"/>
      <c r="D9" s="90"/>
      <c r="E9" s="90"/>
      <c r="F9" s="90"/>
      <c r="G9" s="90"/>
      <c r="H9" s="101"/>
      <c r="I9" s="3"/>
      <c r="J9" s="50"/>
      <c r="K9" s="58">
        <f>+($K$5+L9)*(1+$F$42/12*$C$42)</f>
        <v>508.9751645531654</v>
      </c>
      <c r="L9" s="60">
        <v>100</v>
      </c>
      <c r="M9" s="140">
        <f>+$M$5*$M$6-K9-$M$12</f>
        <v>-73.66911616606872</v>
      </c>
      <c r="N9" s="140">
        <f>+N6*M5-K9-N12</f>
        <v>-6.698954875746132</v>
      </c>
      <c r="O9" s="140">
        <f>+O6*M5-K9-O12</f>
        <v>60.271206414576504</v>
      </c>
      <c r="P9" s="140">
        <f>+P6*P5-K9-P12</f>
        <v>-41.169116166068655</v>
      </c>
      <c r="Q9" s="140">
        <f>+Q6*P5-K9-Q12</f>
        <v>30.801045124253925</v>
      </c>
      <c r="R9" s="140">
        <f>+R6*P5-K9-R12</f>
        <v>102.77120641457651</v>
      </c>
      <c r="S9" s="140">
        <f>+S6*S5-K9-S12</f>
        <v>-8.669116166068655</v>
      </c>
      <c r="T9" s="140">
        <f>+T6*S5-K9-T12</f>
        <v>68.30104512425393</v>
      </c>
      <c r="U9" s="140">
        <f>+U6*S5-K9-U12</f>
        <v>145.2712064145765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87" t="s">
        <v>105</v>
      </c>
      <c r="B10" s="94"/>
      <c r="C10" s="94"/>
      <c r="D10" s="88" t="s">
        <v>15</v>
      </c>
      <c r="E10" s="88" t="s">
        <v>16</v>
      </c>
      <c r="F10" s="88" t="s">
        <v>17</v>
      </c>
      <c r="G10" s="88" t="s">
        <v>18</v>
      </c>
      <c r="H10" s="104" t="s">
        <v>45</v>
      </c>
      <c r="I10" s="3"/>
      <c r="J10" s="50"/>
      <c r="K10" s="58">
        <f>+($K$5+L10)*(1+$F$42/12*$C$42)</f>
        <v>534.7876645531654</v>
      </c>
      <c r="L10" s="60">
        <v>125</v>
      </c>
      <c r="M10" s="140">
        <f>+$M$5*$M$6-K10-$M$12</f>
        <v>-99.48161616606872</v>
      </c>
      <c r="N10" s="140">
        <f>+N6*M5-K10-N12</f>
        <v>-32.51145487574613</v>
      </c>
      <c r="O10" s="140">
        <f>+O6*M5-K10-O12</f>
        <v>34.458706414576504</v>
      </c>
      <c r="P10" s="140">
        <f>+P6*P5-K10-P12</f>
        <v>-66.98161616606866</v>
      </c>
      <c r="Q10" s="140">
        <f>+Q6*P5-K10-Q12</f>
        <v>4.988545124253925</v>
      </c>
      <c r="R10" s="140">
        <f>+R6*P5-K10-R12</f>
        <v>76.95870641457651</v>
      </c>
      <c r="S10" s="140">
        <f>+S6*S5-K10-S12</f>
        <v>-34.481616166068655</v>
      </c>
      <c r="T10" s="140">
        <f>+T6*S5-K10-T12</f>
        <v>42.488545124253925</v>
      </c>
      <c r="U10" s="140">
        <f>+U6*S5-K10-U12</f>
        <v>119.45870641457651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95" t="s">
        <v>0</v>
      </c>
      <c r="B11" s="96"/>
      <c r="C11" s="96"/>
      <c r="D11" s="86" t="s">
        <v>19</v>
      </c>
      <c r="E11" s="86">
        <v>1</v>
      </c>
      <c r="F11" s="74">
        <v>0</v>
      </c>
      <c r="G11" s="107">
        <f>+E11*F11</f>
        <v>0</v>
      </c>
      <c r="H11" s="105">
        <f>+G11/$E$8*100</f>
        <v>0</v>
      </c>
      <c r="I11" s="3"/>
      <c r="J11" s="3"/>
      <c r="K11" s="58">
        <f>+($K$5+L11)*(1+$F$42/12*$C$42)</f>
        <v>560.6001645531654</v>
      </c>
      <c r="L11" s="60">
        <v>150</v>
      </c>
      <c r="M11" s="140">
        <f>+$M$5*$M$6-K11-$M$12</f>
        <v>-125.29411616606872</v>
      </c>
      <c r="N11" s="140">
        <f>+N6*M5-K11-N12</f>
        <v>-58.32395487574613</v>
      </c>
      <c r="O11" s="140">
        <f>+O6*M5-K11-O12</f>
        <v>8.646206414576506</v>
      </c>
      <c r="P11" s="140">
        <f>+P6*P5-K11-P12</f>
        <v>-92.79411616606866</v>
      </c>
      <c r="Q11" s="140">
        <f>+Q6*P5-K11-Q12</f>
        <v>-20.823954875746075</v>
      </c>
      <c r="R11" s="140">
        <f>+R6*P5-K11-R12</f>
        <v>51.146206414576504</v>
      </c>
      <c r="S11" s="140">
        <f>+S6*S5-K11-S12</f>
        <v>-60.294116166068655</v>
      </c>
      <c r="T11" s="140">
        <f>+T6*S5-K11-T12</f>
        <v>16.676045124253925</v>
      </c>
      <c r="U11" s="140">
        <f>+U6*S5-K11-U12</f>
        <v>93.64620641457651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95" t="s">
        <v>135</v>
      </c>
      <c r="B12" s="96"/>
      <c r="C12" s="96"/>
      <c r="D12" s="86" t="s">
        <v>19</v>
      </c>
      <c r="E12" s="86">
        <v>1</v>
      </c>
      <c r="F12" s="74">
        <v>16</v>
      </c>
      <c r="G12" s="107">
        <f>+E12*F12</f>
        <v>16</v>
      </c>
      <c r="H12" s="105">
        <f>+G12/$E$8*100</f>
        <v>2.1333333333333333</v>
      </c>
      <c r="I12" s="3"/>
      <c r="J12" s="3"/>
      <c r="K12" s="49"/>
      <c r="L12" s="27"/>
      <c r="M12" s="59">
        <f>+$K$6/100*M6</f>
        <v>3.4439516129032275</v>
      </c>
      <c r="N12" s="59">
        <f aca="true" t="shared" si="0" ref="N12:U12">+$K$6/100*N6</f>
        <v>3.9737903225806472</v>
      </c>
      <c r="O12" s="59">
        <f t="shared" si="0"/>
        <v>4.5036290322580665</v>
      </c>
      <c r="P12" s="59">
        <f t="shared" si="0"/>
        <v>3.4439516129032275</v>
      </c>
      <c r="Q12" s="59">
        <f t="shared" si="0"/>
        <v>3.9737903225806472</v>
      </c>
      <c r="R12" s="59">
        <f t="shared" si="0"/>
        <v>4.5036290322580665</v>
      </c>
      <c r="S12" s="59">
        <f t="shared" si="0"/>
        <v>3.4439516129032275</v>
      </c>
      <c r="T12" s="59">
        <f t="shared" si="0"/>
        <v>3.9737903225806472</v>
      </c>
      <c r="U12" s="59">
        <f t="shared" si="0"/>
        <v>4.5036290322580665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95" t="s">
        <v>136</v>
      </c>
      <c r="B13" s="96"/>
      <c r="C13" s="96"/>
      <c r="D13" s="86" t="s">
        <v>114</v>
      </c>
      <c r="E13" s="107">
        <f>+H5/1000</f>
        <v>39.929875425000006</v>
      </c>
      <c r="F13" s="74">
        <v>2.76</v>
      </c>
      <c r="G13" s="107">
        <f>+F13*E13</f>
        <v>110.206456173</v>
      </c>
      <c r="H13" s="105">
        <f>+G13/E8*100</f>
        <v>14.6941941564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95" t="s">
        <v>44</v>
      </c>
      <c r="B14" s="96"/>
      <c r="C14" s="96"/>
      <c r="D14" s="86" t="s">
        <v>20</v>
      </c>
      <c r="E14" s="72">
        <v>0.33</v>
      </c>
      <c r="F14" s="74">
        <v>42</v>
      </c>
      <c r="G14" s="107">
        <f>+E14*F14</f>
        <v>13.860000000000001</v>
      </c>
      <c r="H14" s="105">
        <f>+G14/$E$8*100</f>
        <v>1.848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95" t="s">
        <v>47</v>
      </c>
      <c r="B15" s="96"/>
      <c r="C15" s="96"/>
      <c r="D15" s="86"/>
      <c r="E15" s="86"/>
      <c r="F15" s="107"/>
      <c r="G15" s="107"/>
      <c r="H15" s="105"/>
      <c r="I15" s="3"/>
      <c r="J15" s="141" t="s">
        <v>52</v>
      </c>
      <c r="K15" s="142"/>
      <c r="L15" s="79">
        <v>1000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3.5" customHeight="1">
      <c r="A16" s="95" t="s">
        <v>1</v>
      </c>
      <c r="B16" s="96"/>
      <c r="C16" s="96"/>
      <c r="D16" s="86" t="s">
        <v>21</v>
      </c>
      <c r="E16" s="72">
        <v>60</v>
      </c>
      <c r="F16" s="74">
        <v>0.42</v>
      </c>
      <c r="G16" s="107">
        <f>+E16*F16</f>
        <v>25.2</v>
      </c>
      <c r="H16" s="105">
        <f>+G16/$E$8*100</f>
        <v>3.36</v>
      </c>
      <c r="I16" s="3"/>
      <c r="J16" s="143"/>
      <c r="K16" s="144"/>
      <c r="L16" s="147"/>
      <c r="M16" s="214" t="s">
        <v>53</v>
      </c>
      <c r="N16" s="215"/>
      <c r="O16" s="215"/>
      <c r="P16" s="216"/>
      <c r="Q16" s="214" t="s">
        <v>77</v>
      </c>
      <c r="R16" s="215"/>
      <c r="S16" s="215"/>
      <c r="T16" s="216"/>
      <c r="U16" s="214" t="s">
        <v>54</v>
      </c>
      <c r="V16" s="215"/>
      <c r="W16" s="216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3.5" customHeight="1">
      <c r="A17" s="95" t="s">
        <v>2</v>
      </c>
      <c r="B17" s="96"/>
      <c r="C17" s="96"/>
      <c r="D17" s="86" t="s">
        <v>21</v>
      </c>
      <c r="E17" s="72">
        <v>50</v>
      </c>
      <c r="F17" s="74">
        <v>0.39</v>
      </c>
      <c r="G17" s="107">
        <f>+E17*F17</f>
        <v>19.5</v>
      </c>
      <c r="H17" s="105">
        <f>+G17/$E$8*100</f>
        <v>2.6</v>
      </c>
      <c r="I17" s="3"/>
      <c r="J17" s="145"/>
      <c r="K17" s="133"/>
      <c r="L17" s="148" t="s">
        <v>55</v>
      </c>
      <c r="M17" s="151" t="s">
        <v>56</v>
      </c>
      <c r="N17" s="151" t="s">
        <v>57</v>
      </c>
      <c r="O17" s="151" t="s">
        <v>58</v>
      </c>
      <c r="P17" s="151" t="s">
        <v>59</v>
      </c>
      <c r="Q17" s="151" t="s">
        <v>60</v>
      </c>
      <c r="R17" s="151" t="s">
        <v>58</v>
      </c>
      <c r="S17" s="151" t="s">
        <v>61</v>
      </c>
      <c r="T17" s="151" t="s">
        <v>62</v>
      </c>
      <c r="U17" s="151" t="s">
        <v>63</v>
      </c>
      <c r="V17" s="151" t="s">
        <v>93</v>
      </c>
      <c r="W17" s="151" t="s">
        <v>46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3.5" customHeight="1">
      <c r="A18" s="95" t="s">
        <v>3</v>
      </c>
      <c r="B18" s="96"/>
      <c r="C18" s="96"/>
      <c r="D18" s="86" t="s">
        <v>21</v>
      </c>
      <c r="E18" s="72">
        <v>50</v>
      </c>
      <c r="F18" s="74">
        <v>0.28</v>
      </c>
      <c r="G18" s="107">
        <f>+E18*F18</f>
        <v>14.000000000000002</v>
      </c>
      <c r="H18" s="105">
        <f>+G18/$E$8*100</f>
        <v>1.866666666666667</v>
      </c>
      <c r="I18" s="3"/>
      <c r="J18" s="146" t="s">
        <v>64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52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95" t="s">
        <v>81</v>
      </c>
      <c r="B19" s="96"/>
      <c r="C19" s="96"/>
      <c r="D19" s="86" t="s">
        <v>51</v>
      </c>
      <c r="E19" s="72">
        <v>0</v>
      </c>
      <c r="F19" s="74">
        <v>44</v>
      </c>
      <c r="G19" s="107">
        <f>+E19*F19</f>
        <v>0</v>
      </c>
      <c r="H19" s="105">
        <f>+G19/$E$8*100</f>
        <v>0</v>
      </c>
      <c r="I19" s="3"/>
      <c r="J19" s="211" t="s">
        <v>140</v>
      </c>
      <c r="K19" s="211"/>
      <c r="L19" s="61">
        <v>223000</v>
      </c>
      <c r="M19" s="62">
        <v>11.61</v>
      </c>
      <c r="N19" s="162">
        <f>+L19*M19/100</f>
        <v>25890.3</v>
      </c>
      <c r="O19" s="61">
        <v>400</v>
      </c>
      <c r="P19" s="163">
        <f>IF(O19=0," ",+N19/O19)</f>
        <v>64.72575</v>
      </c>
      <c r="Q19" s="61">
        <v>50</v>
      </c>
      <c r="R19" s="154">
        <f>+O19*Q19/100</f>
        <v>200</v>
      </c>
      <c r="S19" s="166">
        <f>IF(R19=0," ",+R19/L15)</f>
        <v>0.2</v>
      </c>
      <c r="T19" s="163">
        <f>+N19*Q19/100/L15</f>
        <v>12.94515</v>
      </c>
      <c r="U19" s="61">
        <v>6000</v>
      </c>
      <c r="V19" s="162">
        <f>+U19*Q19/100</f>
        <v>3000</v>
      </c>
      <c r="W19" s="163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95" t="s">
        <v>127</v>
      </c>
      <c r="B20" s="96"/>
      <c r="C20" s="96"/>
      <c r="D20" s="86" t="s">
        <v>19</v>
      </c>
      <c r="E20" s="86">
        <v>1</v>
      </c>
      <c r="F20" s="74">
        <v>5.5</v>
      </c>
      <c r="G20" s="107">
        <f>+E20*F20</f>
        <v>5.5</v>
      </c>
      <c r="H20" s="105">
        <f>+G20/$E$8*100</f>
        <v>0.7333333333333333</v>
      </c>
      <c r="I20" s="3"/>
      <c r="J20" s="211" t="s">
        <v>141</v>
      </c>
      <c r="K20" s="211"/>
      <c r="L20" s="61">
        <v>186000</v>
      </c>
      <c r="M20" s="62">
        <v>11.61</v>
      </c>
      <c r="N20" s="154">
        <f>+L20*M20/100</f>
        <v>21594.6</v>
      </c>
      <c r="O20" s="61">
        <v>500</v>
      </c>
      <c r="P20" s="163">
        <f>IF(O20=0," ",+N20/O20)</f>
        <v>43.1892</v>
      </c>
      <c r="Q20" s="61">
        <v>65</v>
      </c>
      <c r="R20" s="154">
        <f>+O20*Q20/100</f>
        <v>325</v>
      </c>
      <c r="S20" s="166">
        <f>IF(R20=0," ",+R20/L15)</f>
        <v>0.325</v>
      </c>
      <c r="T20" s="163">
        <f>+N20*Q20/100/L15</f>
        <v>14.03649</v>
      </c>
      <c r="U20" s="61">
        <v>4900</v>
      </c>
      <c r="V20" s="162">
        <f>+U20*Q20/100</f>
        <v>3185</v>
      </c>
      <c r="W20" s="163">
        <f>+V20/L15</f>
        <v>3.185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95" t="s">
        <v>104</v>
      </c>
      <c r="B21" s="96"/>
      <c r="C21" s="96"/>
      <c r="D21" s="86"/>
      <c r="E21" s="86"/>
      <c r="F21" s="107"/>
      <c r="G21" s="107"/>
      <c r="H21" s="105"/>
      <c r="I21" s="3"/>
      <c r="J21" s="211" t="s">
        <v>142</v>
      </c>
      <c r="K21" s="211"/>
      <c r="L21" s="61">
        <v>78000</v>
      </c>
      <c r="M21" s="62">
        <v>11.61</v>
      </c>
      <c r="N21" s="162">
        <f>+L21*M21/100</f>
        <v>9055.8</v>
      </c>
      <c r="O21" s="61">
        <v>500</v>
      </c>
      <c r="P21" s="163">
        <f>IF(O21=0," ",+N21/O21)</f>
        <v>18.1116</v>
      </c>
      <c r="Q21" s="61">
        <v>35</v>
      </c>
      <c r="R21" s="154">
        <f>+O21*Q21/100</f>
        <v>175</v>
      </c>
      <c r="S21" s="166">
        <f>IF(R21=0," ",+R21/L15)</f>
        <v>0.175</v>
      </c>
      <c r="T21" s="163">
        <f>IF(N21=0," ",+N21*Q21/100/L15)</f>
        <v>3.1695300000000004</v>
      </c>
      <c r="U21" s="61">
        <v>2000</v>
      </c>
      <c r="V21" s="162">
        <f>+U21*Q21/100</f>
        <v>700</v>
      </c>
      <c r="W21" s="163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95" t="s">
        <v>129</v>
      </c>
      <c r="B22" s="96"/>
      <c r="C22" s="96"/>
      <c r="D22" s="86" t="s">
        <v>19</v>
      </c>
      <c r="E22" s="86">
        <v>1</v>
      </c>
      <c r="F22" s="74">
        <v>17.08</v>
      </c>
      <c r="G22" s="109">
        <f>+E22*F22</f>
        <v>17.08</v>
      </c>
      <c r="H22" s="105">
        <f>+G22/$E$8*100</f>
        <v>2.277333333333333</v>
      </c>
      <c r="I22" s="3"/>
      <c r="J22" s="153"/>
      <c r="K22" s="149"/>
      <c r="L22" s="149"/>
      <c r="M22" s="149"/>
      <c r="N22" s="149"/>
      <c r="O22" s="149"/>
      <c r="P22" s="149"/>
      <c r="Q22" s="149"/>
      <c r="R22" s="149"/>
      <c r="S22" s="167"/>
      <c r="T22" s="149"/>
      <c r="U22" s="149"/>
      <c r="V22" s="164"/>
      <c r="W22" s="165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95" t="s">
        <v>115</v>
      </c>
      <c r="B23" s="90"/>
      <c r="C23" s="90"/>
      <c r="D23" s="86" t="s">
        <v>19</v>
      </c>
      <c r="E23" s="108">
        <v>1</v>
      </c>
      <c r="F23" s="74">
        <v>8.61</v>
      </c>
      <c r="G23" s="109">
        <f>+E23*F23</f>
        <v>8.61</v>
      </c>
      <c r="H23" s="110">
        <f>+G23/$E$8*100</f>
        <v>1.148</v>
      </c>
      <c r="I23" s="3"/>
      <c r="J23" s="139" t="s">
        <v>65</v>
      </c>
      <c r="K23" s="154"/>
      <c r="L23" s="61">
        <v>195000</v>
      </c>
      <c r="M23" s="62">
        <v>14.17</v>
      </c>
      <c r="N23" s="162">
        <f>+L23*M23/100</f>
        <v>27631.5</v>
      </c>
      <c r="O23" s="61">
        <v>250</v>
      </c>
      <c r="P23" s="163">
        <f>IF(O23=0," ",+N23/O23)</f>
        <v>110.526</v>
      </c>
      <c r="Q23" s="61">
        <v>70</v>
      </c>
      <c r="R23" s="162">
        <f>+O23*Q23/100</f>
        <v>175</v>
      </c>
      <c r="S23" s="166">
        <f>IF(R23=0," ",+R23/L15)</f>
        <v>0.175</v>
      </c>
      <c r="T23" s="163">
        <f>+N23*Q23/100/L15</f>
        <v>19.34205</v>
      </c>
      <c r="U23" s="61">
        <v>5300</v>
      </c>
      <c r="V23" s="162">
        <f>+U23*Q23/100</f>
        <v>3710</v>
      </c>
      <c r="W23" s="163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95" t="s">
        <v>116</v>
      </c>
      <c r="B24" s="96"/>
      <c r="C24" s="96"/>
      <c r="D24" s="86" t="s">
        <v>19</v>
      </c>
      <c r="E24" s="86">
        <v>1</v>
      </c>
      <c r="F24" s="74">
        <v>40.08</v>
      </c>
      <c r="G24" s="107">
        <f>+F24*E24</f>
        <v>40.08</v>
      </c>
      <c r="H24" s="105">
        <f>+G24/$E$8*100</f>
        <v>5.343999999999999</v>
      </c>
      <c r="I24" s="3"/>
      <c r="J24" s="153"/>
      <c r="K24" s="149"/>
      <c r="L24" s="149"/>
      <c r="M24" s="149"/>
      <c r="N24" s="149"/>
      <c r="O24" s="149"/>
      <c r="P24" s="149"/>
      <c r="Q24" s="149"/>
      <c r="R24" s="149"/>
      <c r="S24" s="167"/>
      <c r="T24" s="149"/>
      <c r="U24" s="149"/>
      <c r="V24" s="164"/>
      <c r="W24" s="165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95" t="s">
        <v>117</v>
      </c>
      <c r="B25" s="96"/>
      <c r="C25" s="96"/>
      <c r="D25" s="86" t="s">
        <v>19</v>
      </c>
      <c r="E25" s="86">
        <v>1</v>
      </c>
      <c r="F25" s="74">
        <v>15.2</v>
      </c>
      <c r="G25" s="107">
        <f>+E25*F25</f>
        <v>15.2</v>
      </c>
      <c r="H25" s="105">
        <f>+G25/$E$8*100</f>
        <v>2.0266666666666664</v>
      </c>
      <c r="I25" s="3"/>
      <c r="J25" s="141" t="s">
        <v>66</v>
      </c>
      <c r="K25" s="150"/>
      <c r="L25" s="61">
        <v>465000</v>
      </c>
      <c r="M25" s="62">
        <v>13.81</v>
      </c>
      <c r="N25" s="162">
        <f>+L25*M25/100</f>
        <v>64216.5</v>
      </c>
      <c r="O25" s="61">
        <v>165</v>
      </c>
      <c r="P25" s="163">
        <f>IF(O25=0," ",+N25/O25)</f>
        <v>389.1909090909091</v>
      </c>
      <c r="Q25" s="61">
        <v>100</v>
      </c>
      <c r="R25" s="154">
        <f>+O25*Q25/100</f>
        <v>165</v>
      </c>
      <c r="S25" s="166">
        <f>IF(R25=0," ",+R25/L15)</f>
        <v>0.165</v>
      </c>
      <c r="T25" s="163">
        <f>+N25*Q25/100/L15</f>
        <v>64.2165</v>
      </c>
      <c r="U25" s="61">
        <v>12800</v>
      </c>
      <c r="V25" s="162">
        <f>+U25*Q25/100</f>
        <v>12800</v>
      </c>
      <c r="W25" s="163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95" t="s">
        <v>85</v>
      </c>
      <c r="B26" s="96"/>
      <c r="C26" s="96"/>
      <c r="D26" s="86" t="s">
        <v>19</v>
      </c>
      <c r="E26" s="86">
        <v>1</v>
      </c>
      <c r="F26" s="74">
        <v>10</v>
      </c>
      <c r="G26" s="107">
        <f>+E26*F26</f>
        <v>10</v>
      </c>
      <c r="H26" s="105">
        <f>+G26/$E$8*100</f>
        <v>1.3333333333333335</v>
      </c>
      <c r="I26" s="3"/>
      <c r="J26" s="145"/>
      <c r="K26" s="133"/>
      <c r="L26" s="133"/>
      <c r="M26" s="155"/>
      <c r="N26" s="133"/>
      <c r="O26" s="133"/>
      <c r="P26" s="156"/>
      <c r="Q26" s="133"/>
      <c r="R26" s="133"/>
      <c r="S26" s="156"/>
      <c r="T26" s="156"/>
      <c r="U26" s="133"/>
      <c r="V26" s="133"/>
      <c r="W26" s="157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95" t="s">
        <v>84</v>
      </c>
      <c r="B27" s="96"/>
      <c r="C27" s="96"/>
      <c r="D27" s="96"/>
      <c r="E27" s="96"/>
      <c r="F27" s="96"/>
      <c r="G27" s="86"/>
      <c r="H27" s="105"/>
      <c r="I27" s="3"/>
      <c r="J27" s="141" t="s">
        <v>67</v>
      </c>
      <c r="K27" s="142"/>
      <c r="L27" s="142"/>
      <c r="M27" s="158"/>
      <c r="N27" s="159">
        <f>SUM(N18:N26)</f>
        <v>148388.7</v>
      </c>
      <c r="O27" s="142"/>
      <c r="P27" s="160"/>
      <c r="Q27" s="159">
        <f>+Q19/100*N19+Q20/100*N20+Q21/100*N21+Q23/100*N23+Q25/100*N25</f>
        <v>113709.72</v>
      </c>
      <c r="R27" s="142"/>
      <c r="S27" s="160"/>
      <c r="T27" s="160">
        <f>SUM(T19:T26)</f>
        <v>113.70972</v>
      </c>
      <c r="U27" s="159">
        <f>SUM(U19:U26)</f>
        <v>31000</v>
      </c>
      <c r="V27" s="159">
        <f>SUM(V19:V26)</f>
        <v>23395</v>
      </c>
      <c r="W27" s="161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95" t="s">
        <v>86</v>
      </c>
      <c r="B28" s="96"/>
      <c r="C28" s="96"/>
      <c r="D28" s="86" t="s">
        <v>19</v>
      </c>
      <c r="E28" s="86">
        <v>1</v>
      </c>
      <c r="F28" s="74">
        <v>10</v>
      </c>
      <c r="G28" s="107">
        <f>+F28</f>
        <v>10</v>
      </c>
      <c r="H28" s="105">
        <f aca="true" t="shared" si="1" ref="H28:H35">+G28/$E$8*100</f>
        <v>1.3333333333333335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95" t="s">
        <v>118</v>
      </c>
      <c r="B29" s="96"/>
      <c r="C29" s="96"/>
      <c r="D29" s="86" t="s">
        <v>21</v>
      </c>
      <c r="E29" s="72">
        <v>0</v>
      </c>
      <c r="F29" s="74">
        <v>0</v>
      </c>
      <c r="G29" s="107">
        <f aca="true" t="shared" si="2" ref="G29:G35">+E29*F29</f>
        <v>0</v>
      </c>
      <c r="H29" s="105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95" t="s">
        <v>100</v>
      </c>
      <c r="B30" s="96"/>
      <c r="C30" s="96"/>
      <c r="D30" s="86" t="s">
        <v>109</v>
      </c>
      <c r="E30" s="72">
        <v>0</v>
      </c>
      <c r="F30" s="74">
        <v>0</v>
      </c>
      <c r="G30" s="107">
        <f t="shared" si="2"/>
        <v>0</v>
      </c>
      <c r="H30" s="105">
        <f t="shared" si="1"/>
        <v>0</v>
      </c>
      <c r="I30" s="3"/>
      <c r="J30" s="168" t="s">
        <v>68</v>
      </c>
      <c r="K30" s="169"/>
      <c r="L30" s="63">
        <v>1.9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6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95" t="s">
        <v>80</v>
      </c>
      <c r="B31" s="96"/>
      <c r="C31" s="96"/>
      <c r="D31" s="86" t="s">
        <v>109</v>
      </c>
      <c r="E31" s="72">
        <v>2</v>
      </c>
      <c r="F31" s="74">
        <v>4.98</v>
      </c>
      <c r="G31" s="107">
        <f t="shared" si="2"/>
        <v>9.96</v>
      </c>
      <c r="H31" s="105">
        <f t="shared" si="1"/>
        <v>1.3280000000000003</v>
      </c>
      <c r="I31" s="3"/>
      <c r="J31" s="143"/>
      <c r="K31" s="170"/>
      <c r="L31" s="173" t="s">
        <v>82</v>
      </c>
      <c r="M31" s="170"/>
      <c r="N31" s="177"/>
      <c r="O31" s="218" t="s">
        <v>53</v>
      </c>
      <c r="P31" s="219"/>
      <c r="Q31" s="220"/>
      <c r="R31" s="218" t="s">
        <v>69</v>
      </c>
      <c r="S31" s="220"/>
      <c r="T31" s="218" t="s">
        <v>54</v>
      </c>
      <c r="U31" s="219"/>
      <c r="V31" s="220"/>
      <c r="W31" s="218" t="s">
        <v>70</v>
      </c>
      <c r="X31" s="219"/>
      <c r="Y31" s="220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95" t="s">
        <v>119</v>
      </c>
      <c r="B32" s="96"/>
      <c r="C32" s="96"/>
      <c r="D32" s="86" t="s">
        <v>19</v>
      </c>
      <c r="E32" s="86">
        <v>1</v>
      </c>
      <c r="F32" s="74">
        <v>0</v>
      </c>
      <c r="G32" s="107">
        <f t="shared" si="2"/>
        <v>0</v>
      </c>
      <c r="H32" s="105">
        <f t="shared" si="1"/>
        <v>0</v>
      </c>
      <c r="I32" s="3"/>
      <c r="J32" s="171" t="s">
        <v>71</v>
      </c>
      <c r="K32" s="172"/>
      <c r="L32" s="174" t="s">
        <v>83</v>
      </c>
      <c r="M32" s="174" t="s">
        <v>72</v>
      </c>
      <c r="N32" s="174" t="s">
        <v>73</v>
      </c>
      <c r="O32" s="178" t="s">
        <v>55</v>
      </c>
      <c r="P32" s="178" t="s">
        <v>56</v>
      </c>
      <c r="Q32" s="178" t="s">
        <v>57</v>
      </c>
      <c r="R32" s="178" t="s">
        <v>60</v>
      </c>
      <c r="S32" s="178" t="s">
        <v>62</v>
      </c>
      <c r="T32" s="178" t="s">
        <v>63</v>
      </c>
      <c r="U32" s="178" t="s">
        <v>93</v>
      </c>
      <c r="V32" s="178" t="s">
        <v>46</v>
      </c>
      <c r="W32" s="178" t="s">
        <v>61</v>
      </c>
      <c r="X32" s="178" t="s">
        <v>74</v>
      </c>
      <c r="Y32" s="178" t="s">
        <v>75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95" t="s">
        <v>120</v>
      </c>
      <c r="B33" s="96"/>
      <c r="C33" s="96"/>
      <c r="D33" s="86" t="s">
        <v>19</v>
      </c>
      <c r="E33" s="86">
        <v>1</v>
      </c>
      <c r="F33" s="74">
        <v>0</v>
      </c>
      <c r="G33" s="107">
        <f t="shared" si="2"/>
        <v>0</v>
      </c>
      <c r="H33" s="105">
        <f t="shared" si="1"/>
        <v>0</v>
      </c>
      <c r="I33" s="3"/>
      <c r="J33" s="217" t="s">
        <v>130</v>
      </c>
      <c r="K33" s="217"/>
      <c r="L33" s="64">
        <v>9800</v>
      </c>
      <c r="M33" s="64">
        <v>200</v>
      </c>
      <c r="N33" s="65">
        <v>40</v>
      </c>
      <c r="O33" s="64"/>
      <c r="P33" s="66"/>
      <c r="Q33" s="179">
        <f aca="true" t="shared" si="3" ref="Q33:Q45">+O33*P33/100</f>
        <v>0</v>
      </c>
      <c r="R33" s="69"/>
      <c r="S33" s="182">
        <f>+Q33*R33/100/L15</f>
        <v>0</v>
      </c>
      <c r="T33" s="64"/>
      <c r="U33" s="184">
        <f aca="true" t="shared" si="4" ref="U33:U42">+T33*R33/100</f>
        <v>0</v>
      </c>
      <c r="V33" s="182">
        <f>+U33/L15</f>
        <v>0</v>
      </c>
      <c r="W33" s="185">
        <f aca="true" t="shared" si="5" ref="W33:W45">IF(N33=0," ",1/N33)</f>
        <v>0.025</v>
      </c>
      <c r="X33" s="182">
        <f aca="true" t="shared" si="6" ref="X33:X45">+M33*0.044</f>
        <v>8.799999999999999</v>
      </c>
      <c r="Y33" s="182">
        <f>IF(W33=" "," ",+X33*W33*1.15*L30)</f>
        <v>0.48069999999999985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95" t="s">
        <v>4</v>
      </c>
      <c r="B34" s="96"/>
      <c r="C34" s="96"/>
      <c r="D34" s="86" t="s">
        <v>41</v>
      </c>
      <c r="E34" s="72">
        <v>26</v>
      </c>
      <c r="F34" s="73">
        <v>0.055</v>
      </c>
      <c r="G34" s="107">
        <f t="shared" si="2"/>
        <v>1.43</v>
      </c>
      <c r="H34" s="105">
        <f t="shared" si="1"/>
        <v>0.19066666666666665</v>
      </c>
      <c r="I34" s="3"/>
      <c r="J34" s="80" t="s">
        <v>131</v>
      </c>
      <c r="K34" s="80"/>
      <c r="L34" s="64">
        <v>2000</v>
      </c>
      <c r="M34" s="64">
        <v>230</v>
      </c>
      <c r="N34" s="65">
        <v>10.5</v>
      </c>
      <c r="O34" s="64">
        <v>50000</v>
      </c>
      <c r="P34" s="66">
        <v>12.25</v>
      </c>
      <c r="Q34" s="179">
        <f t="shared" si="3"/>
        <v>6125</v>
      </c>
      <c r="R34" s="69">
        <v>50</v>
      </c>
      <c r="S34" s="182">
        <f>+Q34*R34/100/L15</f>
        <v>3.0625</v>
      </c>
      <c r="T34" s="64">
        <v>1500</v>
      </c>
      <c r="U34" s="184">
        <f t="shared" si="4"/>
        <v>750</v>
      </c>
      <c r="V34" s="182">
        <f>+U34/L15</f>
        <v>0.75</v>
      </c>
      <c r="W34" s="185">
        <f t="shared" si="5"/>
        <v>0.09523809523809523</v>
      </c>
      <c r="X34" s="182">
        <f t="shared" si="6"/>
        <v>10.12</v>
      </c>
      <c r="Y34" s="182">
        <f>IF(W34=" "," ",+X34*W34*1.15*L30)</f>
        <v>2.105923809523809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95" t="s">
        <v>102</v>
      </c>
      <c r="B35" s="96"/>
      <c r="C35" s="96"/>
      <c r="D35" s="86" t="s">
        <v>19</v>
      </c>
      <c r="E35" s="86">
        <v>1</v>
      </c>
      <c r="F35" s="74">
        <v>8.78</v>
      </c>
      <c r="G35" s="107">
        <f t="shared" si="2"/>
        <v>8.78</v>
      </c>
      <c r="H35" s="105">
        <f t="shared" si="1"/>
        <v>1.1706666666666665</v>
      </c>
      <c r="I35" s="3"/>
      <c r="J35" s="80" t="s">
        <v>106</v>
      </c>
      <c r="K35" s="80"/>
      <c r="L35" s="64">
        <v>9800</v>
      </c>
      <c r="M35" s="64">
        <v>200</v>
      </c>
      <c r="N35" s="65">
        <v>40</v>
      </c>
      <c r="O35" s="64"/>
      <c r="P35" s="66"/>
      <c r="Q35" s="179">
        <f t="shared" si="3"/>
        <v>0</v>
      </c>
      <c r="R35" s="69"/>
      <c r="S35" s="182">
        <f>+Q35*R35/100/L15</f>
        <v>0</v>
      </c>
      <c r="T35" s="64"/>
      <c r="U35" s="184">
        <f t="shared" si="4"/>
        <v>0</v>
      </c>
      <c r="V35" s="182">
        <f>+U35/L15</f>
        <v>0</v>
      </c>
      <c r="W35" s="185">
        <f t="shared" si="5"/>
        <v>0.025</v>
      </c>
      <c r="X35" s="182">
        <f t="shared" si="6"/>
        <v>8.799999999999999</v>
      </c>
      <c r="Y35" s="182">
        <f>IF(W35=" "," ",+X35*W35*1.15*L30)</f>
        <v>0.48069999999999985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95" t="s">
        <v>6</v>
      </c>
      <c r="B36" s="96"/>
      <c r="C36" s="96"/>
      <c r="D36" s="86"/>
      <c r="E36" s="86"/>
      <c r="F36" s="86"/>
      <c r="G36" s="86"/>
      <c r="H36" s="105"/>
      <c r="I36" s="3"/>
      <c r="J36" s="80" t="s">
        <v>107</v>
      </c>
      <c r="K36" s="80"/>
      <c r="L36" s="64">
        <v>9800</v>
      </c>
      <c r="M36" s="64">
        <v>200</v>
      </c>
      <c r="N36" s="65">
        <v>40</v>
      </c>
      <c r="O36" s="67"/>
      <c r="P36" s="68"/>
      <c r="Q36" s="179">
        <f t="shared" si="3"/>
        <v>0</v>
      </c>
      <c r="R36" s="69"/>
      <c r="S36" s="182">
        <f>+Q36*R36/100/L15</f>
        <v>0</v>
      </c>
      <c r="T36" s="64"/>
      <c r="U36" s="184">
        <f t="shared" si="4"/>
        <v>0</v>
      </c>
      <c r="V36" s="182">
        <f>+U36/L15</f>
        <v>0</v>
      </c>
      <c r="W36" s="185">
        <f t="shared" si="5"/>
        <v>0.025</v>
      </c>
      <c r="X36" s="182">
        <f t="shared" si="6"/>
        <v>8.799999999999999</v>
      </c>
      <c r="Y36" s="182">
        <f>IF(W36=" "," ",+X36*W36*1.15*L30)</f>
        <v>0.48069999999999985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95" t="s">
        <v>7</v>
      </c>
      <c r="B37" s="96"/>
      <c r="C37" s="96"/>
      <c r="D37" s="86" t="s">
        <v>22</v>
      </c>
      <c r="E37" s="107">
        <f>+Y51/L30</f>
        <v>10.830840614439321</v>
      </c>
      <c r="F37" s="74">
        <v>1.9</v>
      </c>
      <c r="G37" s="107">
        <f>+E37*F37</f>
        <v>20.578597167434708</v>
      </c>
      <c r="H37" s="105">
        <f aca="true" t="shared" si="7" ref="H37:H42">+G37/$E$8*100</f>
        <v>2.743812955657961</v>
      </c>
      <c r="I37" s="3"/>
      <c r="J37" s="212" t="s">
        <v>128</v>
      </c>
      <c r="K37" s="213"/>
      <c r="L37" s="64">
        <v>1300</v>
      </c>
      <c r="M37" s="64">
        <v>190</v>
      </c>
      <c r="N37" s="65">
        <v>12.5</v>
      </c>
      <c r="O37" s="64">
        <v>17000</v>
      </c>
      <c r="P37" s="66">
        <v>12.25</v>
      </c>
      <c r="Q37" s="179">
        <f t="shared" si="3"/>
        <v>2082.5</v>
      </c>
      <c r="R37" s="69">
        <v>70</v>
      </c>
      <c r="S37" s="182">
        <f>+Q37*R37/100/L15</f>
        <v>1.45775</v>
      </c>
      <c r="T37" s="64">
        <v>425</v>
      </c>
      <c r="U37" s="184">
        <f t="shared" si="4"/>
        <v>297.5</v>
      </c>
      <c r="V37" s="182">
        <f>+U37/L15</f>
        <v>0.2975</v>
      </c>
      <c r="W37" s="185">
        <f t="shared" si="5"/>
        <v>0.08</v>
      </c>
      <c r="X37" s="182">
        <f t="shared" si="6"/>
        <v>8.36</v>
      </c>
      <c r="Y37" s="182">
        <f>IF(W37=" "," ",+X37*W37*1.15*L30)</f>
        <v>1.4613279999999997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95" t="s">
        <v>8</v>
      </c>
      <c r="B38" s="96"/>
      <c r="C38" s="96"/>
      <c r="D38" s="86" t="s">
        <v>19</v>
      </c>
      <c r="E38" s="86">
        <v>1</v>
      </c>
      <c r="F38" s="107">
        <f>+V51+W27</f>
        <v>27.413000000000004</v>
      </c>
      <c r="G38" s="107">
        <f>+E38*F38</f>
        <v>27.413000000000004</v>
      </c>
      <c r="H38" s="105">
        <f t="shared" si="7"/>
        <v>3.655066666666667</v>
      </c>
      <c r="I38" s="3"/>
      <c r="J38" s="80" t="s">
        <v>108</v>
      </c>
      <c r="K38" s="80"/>
      <c r="L38" s="64">
        <v>1300</v>
      </c>
      <c r="M38" s="64">
        <v>190</v>
      </c>
      <c r="N38" s="65">
        <v>12.5</v>
      </c>
      <c r="O38" s="64">
        <v>12500</v>
      </c>
      <c r="P38" s="66">
        <v>12.25</v>
      </c>
      <c r="Q38" s="179">
        <f t="shared" si="3"/>
        <v>1531.25</v>
      </c>
      <c r="R38" s="64">
        <v>70</v>
      </c>
      <c r="S38" s="182">
        <f>+Q38*R36/100/L15</f>
        <v>0</v>
      </c>
      <c r="T38" s="64">
        <v>315</v>
      </c>
      <c r="U38" s="184">
        <f t="shared" si="4"/>
        <v>220.5</v>
      </c>
      <c r="V38" s="182">
        <f>+U38/L15</f>
        <v>0.2205</v>
      </c>
      <c r="W38" s="185">
        <f t="shared" si="5"/>
        <v>0.08</v>
      </c>
      <c r="X38" s="182">
        <f t="shared" si="6"/>
        <v>8.36</v>
      </c>
      <c r="Y38" s="182">
        <f>IF(W38=" "," ",+X38*W38*1.15*L30)</f>
        <v>1.4613279999999997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95" t="s">
        <v>101</v>
      </c>
      <c r="B39" s="96"/>
      <c r="C39" s="96"/>
      <c r="D39" s="86" t="s">
        <v>109</v>
      </c>
      <c r="E39" s="72">
        <v>0</v>
      </c>
      <c r="F39" s="74">
        <v>0</v>
      </c>
      <c r="G39" s="107">
        <f>+E39*F39</f>
        <v>0</v>
      </c>
      <c r="H39" s="105">
        <f t="shared" si="7"/>
        <v>0</v>
      </c>
      <c r="I39" s="3"/>
      <c r="J39" s="80" t="s">
        <v>87</v>
      </c>
      <c r="K39" s="80"/>
      <c r="L39" s="64">
        <v>9800</v>
      </c>
      <c r="M39" s="64">
        <v>200</v>
      </c>
      <c r="N39" s="65">
        <v>40</v>
      </c>
      <c r="O39" s="67"/>
      <c r="P39" s="68"/>
      <c r="Q39" s="179">
        <f t="shared" si="3"/>
        <v>0</v>
      </c>
      <c r="R39" s="69"/>
      <c r="S39" s="182">
        <f>+Q39*R39/100/L15</f>
        <v>0</v>
      </c>
      <c r="T39" s="64"/>
      <c r="U39" s="184">
        <f t="shared" si="4"/>
        <v>0</v>
      </c>
      <c r="V39" s="182">
        <f>+U39/L15</f>
        <v>0</v>
      </c>
      <c r="W39" s="185">
        <f t="shared" si="5"/>
        <v>0.025</v>
      </c>
      <c r="X39" s="182">
        <f t="shared" si="6"/>
        <v>8.799999999999999</v>
      </c>
      <c r="Y39" s="182">
        <f>IF(W39=" "," ",+X39*W39*1.15*L30)</f>
        <v>0.48069999999999985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95" t="s">
        <v>9</v>
      </c>
      <c r="B40" s="86"/>
      <c r="C40" s="86"/>
      <c r="D40" s="86" t="s">
        <v>19</v>
      </c>
      <c r="E40" s="86">
        <v>1</v>
      </c>
      <c r="F40" s="74">
        <v>0</v>
      </c>
      <c r="G40" s="107">
        <f>+E40*F40</f>
        <v>0</v>
      </c>
      <c r="H40" s="105">
        <f t="shared" si="7"/>
        <v>0</v>
      </c>
      <c r="I40" s="3"/>
      <c r="J40" s="80" t="s">
        <v>88</v>
      </c>
      <c r="K40" s="80"/>
      <c r="L40" s="64">
        <v>9800</v>
      </c>
      <c r="M40" s="64">
        <v>200</v>
      </c>
      <c r="N40" s="65">
        <v>40</v>
      </c>
      <c r="O40" s="64"/>
      <c r="P40" s="66"/>
      <c r="Q40" s="179">
        <f t="shared" si="3"/>
        <v>0</v>
      </c>
      <c r="R40" s="69"/>
      <c r="S40" s="182">
        <f>+Q40*R40/100/L15</f>
        <v>0</v>
      </c>
      <c r="T40" s="64"/>
      <c r="U40" s="184">
        <f t="shared" si="4"/>
        <v>0</v>
      </c>
      <c r="V40" s="182">
        <f>+U40/L15</f>
        <v>0</v>
      </c>
      <c r="W40" s="185">
        <f t="shared" si="5"/>
        <v>0.025</v>
      </c>
      <c r="X40" s="182">
        <f t="shared" si="6"/>
        <v>8.799999999999999</v>
      </c>
      <c r="Y40" s="182">
        <f>IF(W40=" "," ",+X40*W40*1.15*L30)</f>
        <v>0.48069999999999985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95" t="s">
        <v>103</v>
      </c>
      <c r="B41" s="86" t="s">
        <v>79</v>
      </c>
      <c r="C41" s="74">
        <v>1.55</v>
      </c>
      <c r="D41" s="86" t="s">
        <v>23</v>
      </c>
      <c r="E41" s="107">
        <f>+W51*C41</f>
        <v>1.5644880952380953</v>
      </c>
      <c r="F41" s="74">
        <v>12.5</v>
      </c>
      <c r="G41" s="107">
        <f>+E41*F41</f>
        <v>19.55610119047619</v>
      </c>
      <c r="H41" s="105">
        <f t="shared" si="7"/>
        <v>2.6074801587301586</v>
      </c>
      <c r="I41" s="3"/>
      <c r="J41" s="80" t="s">
        <v>110</v>
      </c>
      <c r="K41" s="80"/>
      <c r="L41" s="64">
        <v>9800</v>
      </c>
      <c r="M41" s="64">
        <v>200</v>
      </c>
      <c r="N41" s="65">
        <v>40</v>
      </c>
      <c r="O41" s="64"/>
      <c r="P41" s="66"/>
      <c r="Q41" s="179">
        <f t="shared" si="3"/>
        <v>0</v>
      </c>
      <c r="R41" s="69"/>
      <c r="S41" s="182">
        <f>+Q41*R41/100/L15</f>
        <v>0</v>
      </c>
      <c r="T41" s="64"/>
      <c r="U41" s="184">
        <f t="shared" si="4"/>
        <v>0</v>
      </c>
      <c r="V41" s="182">
        <f>+U41/L15</f>
        <v>0</v>
      </c>
      <c r="W41" s="185">
        <f t="shared" si="5"/>
        <v>0.025</v>
      </c>
      <c r="X41" s="182">
        <f t="shared" si="6"/>
        <v>8.799999999999999</v>
      </c>
      <c r="Y41" s="182">
        <f>IF(W41=" "," ",+X41*W41*1.15*L30)</f>
        <v>0.48069999999999985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95" t="s">
        <v>49</v>
      </c>
      <c r="B42" s="86" t="s">
        <v>50</v>
      </c>
      <c r="C42" s="72">
        <v>6</v>
      </c>
      <c r="D42" s="120">
        <f>SUM(G11:G41)</f>
        <v>392.95415453091084</v>
      </c>
      <c r="E42" s="107">
        <f>+C42/12</f>
        <v>0.5</v>
      </c>
      <c r="F42" s="75">
        <v>0.065</v>
      </c>
      <c r="G42" s="107">
        <f>+D42*F42*E42</f>
        <v>12.771010022254602</v>
      </c>
      <c r="H42" s="105">
        <f t="shared" si="7"/>
        <v>1.7028013363006138</v>
      </c>
      <c r="I42" s="3"/>
      <c r="J42" s="80" t="s">
        <v>89</v>
      </c>
      <c r="K42" s="80"/>
      <c r="L42" s="64">
        <v>9800</v>
      </c>
      <c r="M42" s="64">
        <v>200</v>
      </c>
      <c r="N42" s="65">
        <v>40</v>
      </c>
      <c r="O42" s="64"/>
      <c r="P42" s="66"/>
      <c r="Q42" s="179">
        <f t="shared" si="3"/>
        <v>0</v>
      </c>
      <c r="R42" s="69"/>
      <c r="S42" s="182">
        <f>+Q42*R42/100/$L$15</f>
        <v>0</v>
      </c>
      <c r="T42" s="64"/>
      <c r="U42" s="184">
        <f t="shared" si="4"/>
        <v>0</v>
      </c>
      <c r="V42" s="182">
        <f>+U42/$L$15</f>
        <v>0</v>
      </c>
      <c r="W42" s="185">
        <f t="shared" si="5"/>
        <v>0.025</v>
      </c>
      <c r="X42" s="182">
        <f t="shared" si="6"/>
        <v>8.799999999999999</v>
      </c>
      <c r="Y42" s="182">
        <f>IF(W42=" "," ",+X42*W42*1.15*$L$30)</f>
        <v>0.48069999999999985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95" t="s">
        <v>10</v>
      </c>
      <c r="B43" s="86"/>
      <c r="C43" s="86"/>
      <c r="D43" s="86"/>
      <c r="E43" s="86"/>
      <c r="F43" s="86"/>
      <c r="G43" s="107"/>
      <c r="H43" s="105"/>
      <c r="I43" s="3"/>
      <c r="J43" s="202"/>
      <c r="K43" s="203"/>
      <c r="L43" s="67"/>
      <c r="M43" s="67"/>
      <c r="N43" s="67"/>
      <c r="O43" s="67"/>
      <c r="P43" s="67"/>
      <c r="Q43" s="179">
        <f t="shared" si="3"/>
        <v>0</v>
      </c>
      <c r="R43" s="67"/>
      <c r="S43" s="182">
        <f>+Q43*R43/100/$L$15</f>
        <v>0</v>
      </c>
      <c r="T43" s="67"/>
      <c r="U43" s="184">
        <f aca="true" t="shared" si="8" ref="U43:U50">+T43*R43/100</f>
        <v>0</v>
      </c>
      <c r="V43" s="182">
        <f>+U43/$L$15</f>
        <v>0</v>
      </c>
      <c r="W43" s="185" t="str">
        <f t="shared" si="5"/>
        <v> </v>
      </c>
      <c r="X43" s="182">
        <f t="shared" si="6"/>
        <v>0</v>
      </c>
      <c r="Y43" s="182" t="str">
        <f>IF(W43=" "," ",+X43*W43*1.15*$L$30)</f>
        <v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95" t="s">
        <v>11</v>
      </c>
      <c r="B44" s="86"/>
      <c r="C44" s="86"/>
      <c r="D44" s="86" t="s">
        <v>21</v>
      </c>
      <c r="E44" s="86">
        <f>+E8</f>
        <v>750</v>
      </c>
      <c r="F44" s="73">
        <v>0.08</v>
      </c>
      <c r="G44" s="107">
        <f>+E44*F44</f>
        <v>60</v>
      </c>
      <c r="H44" s="105">
        <f>+G44/$E$8*100</f>
        <v>8</v>
      </c>
      <c r="I44" s="3"/>
      <c r="J44" s="202"/>
      <c r="K44" s="203"/>
      <c r="L44" s="67"/>
      <c r="M44" s="67"/>
      <c r="N44" s="67"/>
      <c r="O44" s="67"/>
      <c r="P44" s="67"/>
      <c r="Q44" s="179">
        <f t="shared" si="3"/>
        <v>0</v>
      </c>
      <c r="R44" s="67"/>
      <c r="S44" s="182">
        <f>+Q44*R44/100/$L$15</f>
        <v>0</v>
      </c>
      <c r="T44" s="67"/>
      <c r="U44" s="184">
        <f t="shared" si="8"/>
        <v>0</v>
      </c>
      <c r="V44" s="182">
        <f>+U44/$L$15</f>
        <v>0</v>
      </c>
      <c r="W44" s="185" t="str">
        <f t="shared" si="5"/>
        <v> </v>
      </c>
      <c r="X44" s="182">
        <f t="shared" si="6"/>
        <v>0</v>
      </c>
      <c r="Y44" s="182" t="str">
        <f>IF(W44=" "," ",+X44*W44*1.15*$L$30)</f>
        <v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95" t="s">
        <v>126</v>
      </c>
      <c r="B45" s="90"/>
      <c r="C45" s="90"/>
      <c r="D45" s="121" t="s">
        <v>24</v>
      </c>
      <c r="E45" s="111">
        <f>+E44/496</f>
        <v>1.5120967741935485</v>
      </c>
      <c r="F45" s="76">
        <v>0</v>
      </c>
      <c r="G45" s="111">
        <f>+E45*F45</f>
        <v>0</v>
      </c>
      <c r="H45" s="112">
        <f>+G45/E8*100</f>
        <v>0</v>
      </c>
      <c r="I45" s="3"/>
      <c r="J45" s="202"/>
      <c r="K45" s="203"/>
      <c r="L45" s="195"/>
      <c r="M45" s="195"/>
      <c r="N45" s="195"/>
      <c r="O45" s="195"/>
      <c r="P45" s="195"/>
      <c r="Q45" s="179">
        <f t="shared" si="3"/>
        <v>0</v>
      </c>
      <c r="R45" s="195"/>
      <c r="S45" s="182">
        <f>+Q45*R45/100/$L$15</f>
        <v>0</v>
      </c>
      <c r="T45" s="195"/>
      <c r="U45" s="184">
        <f t="shared" si="8"/>
        <v>0</v>
      </c>
      <c r="V45" s="182">
        <f>+U45/$L$15</f>
        <v>0</v>
      </c>
      <c r="W45" s="185" t="str">
        <f t="shared" si="5"/>
        <v> </v>
      </c>
      <c r="X45" s="182">
        <f t="shared" si="6"/>
        <v>0</v>
      </c>
      <c r="Y45" s="182" t="str">
        <f>IF(W45=" "," ",+X45*W45*1.15*$L$30)</f>
        <v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95" t="s">
        <v>12</v>
      </c>
      <c r="B46" s="86"/>
      <c r="C46" s="86"/>
      <c r="D46" s="86" t="s">
        <v>24</v>
      </c>
      <c r="E46" s="107">
        <f>+E44/496</f>
        <v>1.5120967741935485</v>
      </c>
      <c r="F46" s="74">
        <v>10.5</v>
      </c>
      <c r="G46" s="107">
        <f>+E46*F46</f>
        <v>15.87701612903226</v>
      </c>
      <c r="H46" s="105">
        <f>+G46/$E$8*100</f>
        <v>2.116935483870968</v>
      </c>
      <c r="I46" s="55"/>
      <c r="J46" s="189" t="s">
        <v>121</v>
      </c>
      <c r="K46" s="190"/>
      <c r="L46" s="180">
        <v>1000</v>
      </c>
      <c r="M46" s="64">
        <v>350</v>
      </c>
      <c r="N46" s="66">
        <v>6.2</v>
      </c>
      <c r="O46" s="180"/>
      <c r="P46" s="182"/>
      <c r="Q46" s="180">
        <f>+O46*P46/100</f>
        <v>0</v>
      </c>
      <c r="R46" s="179"/>
      <c r="S46" s="182">
        <f>+Q46*R46/100/L15</f>
        <v>0</v>
      </c>
      <c r="T46" s="180"/>
      <c r="U46" s="184">
        <f t="shared" si="8"/>
        <v>0</v>
      </c>
      <c r="V46" s="182">
        <f>+U46/L15</f>
        <v>0</v>
      </c>
      <c r="W46" s="185">
        <f>IF(N46=0," ",1/N46)</f>
        <v>0.16129032258064516</v>
      </c>
      <c r="X46" s="182">
        <f>+M46*0.044</f>
        <v>15.399999999999999</v>
      </c>
      <c r="Y46" s="182">
        <f>IF(W46=" "," ",+X46*W46*1.15*L30)</f>
        <v>5.427258064516127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95" t="s">
        <v>13</v>
      </c>
      <c r="B47" s="86"/>
      <c r="C47" s="86"/>
      <c r="D47" s="86" t="s">
        <v>24</v>
      </c>
      <c r="E47" s="107">
        <f>+E44/496</f>
        <v>1.5120967741935485</v>
      </c>
      <c r="F47" s="192">
        <f>4.15+0.005*496*F8</f>
        <v>5.948</v>
      </c>
      <c r="G47" s="107">
        <f>+E47*F47</f>
        <v>8.993951612903228</v>
      </c>
      <c r="H47" s="105">
        <f>+G47/$E$8*100</f>
        <v>1.199193548387097</v>
      </c>
      <c r="I47" s="3"/>
      <c r="J47" s="189" t="s">
        <v>76</v>
      </c>
      <c r="K47" s="190"/>
      <c r="L47" s="180">
        <v>1000</v>
      </c>
      <c r="M47" s="64">
        <v>190</v>
      </c>
      <c r="N47" s="66">
        <v>6.2</v>
      </c>
      <c r="O47" s="64">
        <v>30000</v>
      </c>
      <c r="P47" s="66">
        <v>12.25</v>
      </c>
      <c r="Q47" s="179">
        <f>+O47*P47/100</f>
        <v>3675</v>
      </c>
      <c r="R47" s="69">
        <v>100</v>
      </c>
      <c r="S47" s="182">
        <f>+Q47*R47/100/L15</f>
        <v>3.675</v>
      </c>
      <c r="T47" s="64">
        <v>800</v>
      </c>
      <c r="U47" s="184">
        <f t="shared" si="8"/>
        <v>800</v>
      </c>
      <c r="V47" s="182">
        <f>+U47/L15</f>
        <v>0.8</v>
      </c>
      <c r="W47" s="185">
        <f>IF(N47=0," ",1/N47)</f>
        <v>0.16129032258064516</v>
      </c>
      <c r="X47" s="182">
        <f>+M47*0.044</f>
        <v>8.36</v>
      </c>
      <c r="Y47" s="182">
        <f>IF(W47=" "," ",+X47*W47*1.15*L30)</f>
        <v>2.9462258064516123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95" t="s">
        <v>123</v>
      </c>
      <c r="B48" s="86" t="s">
        <v>125</v>
      </c>
      <c r="C48" s="77">
        <v>0.4</v>
      </c>
      <c r="D48" s="86" t="s">
        <v>20</v>
      </c>
      <c r="E48" s="107">
        <f>+(((1-C48)-0.1)/C48)*E8/2000</f>
        <v>0.46875</v>
      </c>
      <c r="F48" s="74">
        <v>175</v>
      </c>
      <c r="G48" s="107">
        <f>-E48*F48</f>
        <v>-82.03125</v>
      </c>
      <c r="H48" s="105">
        <f>+G48/$E$8*100</f>
        <v>-10.9375</v>
      </c>
      <c r="I48" s="3"/>
      <c r="J48" s="180" t="s">
        <v>122</v>
      </c>
      <c r="K48" s="180"/>
      <c r="L48" s="180">
        <v>1000</v>
      </c>
      <c r="M48" s="64">
        <v>110</v>
      </c>
      <c r="N48" s="66">
        <v>6.2</v>
      </c>
      <c r="O48" s="64">
        <v>34000</v>
      </c>
      <c r="P48" s="66">
        <v>12.25</v>
      </c>
      <c r="Q48" s="179">
        <f>+O48*P48/100</f>
        <v>4165</v>
      </c>
      <c r="R48" s="69">
        <v>100</v>
      </c>
      <c r="S48" s="182">
        <f>+Q48*R48/100/L15</f>
        <v>4.165</v>
      </c>
      <c r="T48" s="64">
        <v>950</v>
      </c>
      <c r="U48" s="184">
        <f t="shared" si="8"/>
        <v>950</v>
      </c>
      <c r="V48" s="182">
        <f>+U48/L15</f>
        <v>0.95</v>
      </c>
      <c r="W48" s="185">
        <f>IF(N48=0," ",1/N48)</f>
        <v>0.16129032258064516</v>
      </c>
      <c r="X48" s="182">
        <f>+M48*0.044</f>
        <v>4.84</v>
      </c>
      <c r="Y48" s="182">
        <f>IF(W48=" "," ",+X48*W48*1.15*L30)</f>
        <v>1.7057096774193548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25" t="s">
        <v>5</v>
      </c>
      <c r="B49" s="94"/>
      <c r="C49" s="94"/>
      <c r="D49" s="122" t="s">
        <v>24</v>
      </c>
      <c r="E49" s="113">
        <f>+E8/496</f>
        <v>1.5120967741935485</v>
      </c>
      <c r="F49" s="74">
        <v>0.75</v>
      </c>
      <c r="G49" s="113">
        <f>+E49*F49</f>
        <v>1.1340725806451615</v>
      </c>
      <c r="H49" s="114">
        <f>+G49/$E$8*100</f>
        <v>0.15120967741935484</v>
      </c>
      <c r="I49" s="3"/>
      <c r="J49" s="80" t="s">
        <v>99</v>
      </c>
      <c r="K49" s="80"/>
      <c r="L49" s="64">
        <v>1000</v>
      </c>
      <c r="M49" s="64">
        <v>230</v>
      </c>
      <c r="N49" s="65">
        <v>10.5</v>
      </c>
      <c r="O49" s="64">
        <v>36000</v>
      </c>
      <c r="P49" s="66">
        <v>12.25</v>
      </c>
      <c r="Q49" s="179">
        <f>+O49*P49/100</f>
        <v>4410</v>
      </c>
      <c r="R49" s="69">
        <v>100</v>
      </c>
      <c r="S49" s="182">
        <f>+Q49*R49/100/L15</f>
        <v>4.41</v>
      </c>
      <c r="T49" s="64">
        <v>1000</v>
      </c>
      <c r="U49" s="184">
        <f t="shared" si="8"/>
        <v>1000</v>
      </c>
      <c r="V49" s="182">
        <f>+U49/L15</f>
        <v>1</v>
      </c>
      <c r="W49" s="185">
        <f>IF(N49=0," ",1/N49)</f>
        <v>0.09523809523809523</v>
      </c>
      <c r="X49" s="182">
        <f>+M49*0.044</f>
        <v>10.12</v>
      </c>
      <c r="Y49" s="182">
        <f>IF(W49=" "," ",+X49*W49*1.15*$L$30)</f>
        <v>2.105923809523809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126" t="s">
        <v>14</v>
      </c>
      <c r="B50" s="123"/>
      <c r="C50" s="123"/>
      <c r="D50" s="118"/>
      <c r="E50" s="118"/>
      <c r="F50" s="118"/>
      <c r="G50" s="115">
        <f>SUM(G11:G49)</f>
        <v>409.6989548757461</v>
      </c>
      <c r="H50" s="116">
        <f>SUM(H11:H49)</f>
        <v>54.626527316766165</v>
      </c>
      <c r="I50" s="3"/>
      <c r="J50" s="81"/>
      <c r="K50" s="82"/>
      <c r="L50" s="64"/>
      <c r="M50" s="64"/>
      <c r="N50" s="65"/>
      <c r="O50" s="64"/>
      <c r="P50" s="64"/>
      <c r="Q50" s="180">
        <f>+O50*P50/100</f>
        <v>0</v>
      </c>
      <c r="R50" s="69"/>
      <c r="S50" s="182">
        <f>+Q50*R50/100/L15</f>
        <v>0</v>
      </c>
      <c r="T50" s="64"/>
      <c r="U50" s="184">
        <f t="shared" si="8"/>
        <v>0</v>
      </c>
      <c r="V50" s="182">
        <f>+U50/L15</f>
        <v>0</v>
      </c>
      <c r="W50" s="185" t="str">
        <f>IF(N50=0," ",1/N50)</f>
        <v> </v>
      </c>
      <c r="X50" s="182">
        <f>+M50*0.044</f>
        <v>0</v>
      </c>
      <c r="Y50" s="182" t="str">
        <f>IF(W50=" "," ",+X50*W50*1.15*$L$30)</f>
        <v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26" t="s">
        <v>25</v>
      </c>
      <c r="B51" s="124"/>
      <c r="C51" s="124"/>
      <c r="D51" s="119"/>
      <c r="E51" s="119"/>
      <c r="F51" s="119"/>
      <c r="G51" s="115">
        <f>+G8-G50</f>
        <v>134.0510451242539</v>
      </c>
      <c r="H51" s="117">
        <f>+H8-H50</f>
        <v>17.873472683233835</v>
      </c>
      <c r="I51" s="3"/>
      <c r="J51" s="191" t="s">
        <v>67</v>
      </c>
      <c r="K51" s="181"/>
      <c r="L51" s="181"/>
      <c r="M51" s="181"/>
      <c r="N51" s="181"/>
      <c r="O51" s="181"/>
      <c r="P51" s="181"/>
      <c r="Q51" s="181"/>
      <c r="R51" s="186">
        <f>+R34/100*Q34+R35/100*Q35+R36/100*Q36+R37/100*Q37+R38/100*Q38+R39/100*Q39+R40/100*Q40+R41/100*Q41+R42/100*Q42+R43/100*Q43+R44/100*Q44+R46/100*Q46+R47/100*Q47+R48/100*Q48+R49/100*Q49+R50/100*Q50</f>
        <v>17842.125</v>
      </c>
      <c r="S51" s="183">
        <f>SUM(S33:S50)</f>
        <v>16.77025</v>
      </c>
      <c r="T51" s="186">
        <f>SUM(T33:T50)</f>
        <v>4990</v>
      </c>
      <c r="U51" s="186">
        <f>SUM(U33:U50)</f>
        <v>4018</v>
      </c>
      <c r="V51" s="183">
        <f>SUM(V33:V50)</f>
        <v>4.018</v>
      </c>
      <c r="W51" s="187">
        <f>SUM(W33:W50)</f>
        <v>1.009347158218126</v>
      </c>
      <c r="X51" s="181"/>
      <c r="Y51" s="188">
        <f>SUM(Y33:Y50)</f>
        <v>20.578597167434708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89"/>
      <c r="B52" s="90"/>
      <c r="C52" s="90"/>
      <c r="D52" s="90"/>
      <c r="E52" s="90"/>
      <c r="F52" s="90"/>
      <c r="G52" s="90"/>
      <c r="H52" s="101"/>
      <c r="I52" s="3"/>
      <c r="J52" s="51" t="s">
        <v>111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95" t="s">
        <v>26</v>
      </c>
      <c r="B53" s="96"/>
      <c r="C53" s="96"/>
      <c r="D53" s="86" t="s">
        <v>19</v>
      </c>
      <c r="E53" s="86">
        <v>1</v>
      </c>
      <c r="F53" s="107">
        <f>SUM(T19:T23)</f>
        <v>49.49322</v>
      </c>
      <c r="G53" s="107">
        <f aca="true" t="shared" si="9" ref="G53:G58">+E53*F53</f>
        <v>49.49322</v>
      </c>
      <c r="H53" s="105">
        <f aca="true" t="shared" si="10" ref="H53:H58">+G53/$E$8*100</f>
        <v>6.599096</v>
      </c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95" t="s">
        <v>33</v>
      </c>
      <c r="B54" s="96"/>
      <c r="C54" s="96"/>
      <c r="D54" s="86" t="s">
        <v>19</v>
      </c>
      <c r="E54" s="86">
        <v>1</v>
      </c>
      <c r="F54" s="107">
        <f>SUM(S35:S50)-S46-S47-S48-S50</f>
        <v>5.86775</v>
      </c>
      <c r="G54" s="107">
        <f t="shared" si="9"/>
        <v>5.86775</v>
      </c>
      <c r="H54" s="105">
        <f t="shared" si="10"/>
        <v>0.7823666666666667</v>
      </c>
      <c r="I54" s="3"/>
      <c r="J54" s="52" t="s">
        <v>90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138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95" t="s">
        <v>78</v>
      </c>
      <c r="B55" s="96"/>
      <c r="C55" s="96"/>
      <c r="D55" s="86" t="s">
        <v>19</v>
      </c>
      <c r="E55" s="86">
        <v>1</v>
      </c>
      <c r="F55" s="107">
        <f>+T25+S47+S48</f>
        <v>72.0565</v>
      </c>
      <c r="G55" s="107">
        <f t="shared" si="9"/>
        <v>72.0565</v>
      </c>
      <c r="H55" s="105">
        <f t="shared" si="10"/>
        <v>9.607533333333333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95" t="s">
        <v>27</v>
      </c>
      <c r="B56" s="96"/>
      <c r="C56" s="96"/>
      <c r="D56" s="86" t="s">
        <v>19</v>
      </c>
      <c r="E56" s="86">
        <v>1</v>
      </c>
      <c r="F56" s="74">
        <v>0</v>
      </c>
      <c r="G56" s="107">
        <f t="shared" si="9"/>
        <v>0</v>
      </c>
      <c r="H56" s="105">
        <f t="shared" si="10"/>
        <v>0</v>
      </c>
      <c r="I56" s="3"/>
      <c r="J56" s="199" t="s">
        <v>94</v>
      </c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95" t="s">
        <v>28</v>
      </c>
      <c r="B57" s="96"/>
      <c r="C57" s="96"/>
      <c r="D57" s="86" t="s">
        <v>48</v>
      </c>
      <c r="E57" s="120">
        <f>+G50</f>
        <v>409.6989548757461</v>
      </c>
      <c r="F57" s="78">
        <v>0.05</v>
      </c>
      <c r="G57" s="107">
        <f t="shared" si="9"/>
        <v>20.484947743787306</v>
      </c>
      <c r="H57" s="105">
        <f t="shared" si="10"/>
        <v>2.7313263658383073</v>
      </c>
      <c r="I57" s="3"/>
      <c r="J57" s="196" t="s">
        <v>143</v>
      </c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8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25" t="s">
        <v>29</v>
      </c>
      <c r="B58" s="94"/>
      <c r="C58" s="94"/>
      <c r="D58" s="122" t="s">
        <v>48</v>
      </c>
      <c r="E58" s="127">
        <f>+G50</f>
        <v>409.6989548757461</v>
      </c>
      <c r="F58" s="78">
        <v>0.05</v>
      </c>
      <c r="G58" s="113">
        <f t="shared" si="9"/>
        <v>20.484947743787306</v>
      </c>
      <c r="H58" s="114">
        <f t="shared" si="10"/>
        <v>2.7313263658383073</v>
      </c>
      <c r="I58" s="3"/>
      <c r="J58" s="221" t="s">
        <v>144</v>
      </c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3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26" t="s">
        <v>30</v>
      </c>
      <c r="B59" s="124"/>
      <c r="C59" s="124"/>
      <c r="D59" s="119"/>
      <c r="E59" s="119"/>
      <c r="F59" s="119"/>
      <c r="G59" s="115">
        <f>SUM(G53:G58)</f>
        <v>168.3873654875746</v>
      </c>
      <c r="H59" s="117">
        <f>SUM(H53:H58)</f>
        <v>22.451648731676613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89"/>
      <c r="B60" s="90"/>
      <c r="C60" s="90"/>
      <c r="D60" s="90"/>
      <c r="E60" s="90"/>
      <c r="F60" s="90"/>
      <c r="G60" s="90"/>
      <c r="H60" s="101"/>
      <c r="I60" s="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26" t="s">
        <v>31</v>
      </c>
      <c r="B61" s="124"/>
      <c r="C61" s="124"/>
      <c r="D61" s="119"/>
      <c r="E61" s="119"/>
      <c r="F61" s="119"/>
      <c r="G61" s="115">
        <f>+G50+G59</f>
        <v>578.0863203633207</v>
      </c>
      <c r="H61" s="117">
        <f>+H50+H59</f>
        <v>77.07817604844277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126" t="s">
        <v>32</v>
      </c>
      <c r="B62" s="124"/>
      <c r="C62" s="124"/>
      <c r="D62" s="119"/>
      <c r="E62" s="119"/>
      <c r="F62" s="119"/>
      <c r="G62" s="115">
        <f>+G8-G61</f>
        <v>-34.33632036332074</v>
      </c>
      <c r="H62" s="117">
        <f>+H8-H61</f>
        <v>-4.578176048442771</v>
      </c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128" t="s">
        <v>145</v>
      </c>
      <c r="B63" s="90"/>
      <c r="C63" s="90"/>
      <c r="D63" s="90"/>
      <c r="E63" s="90"/>
      <c r="F63" s="90"/>
      <c r="G63" s="90"/>
      <c r="H63" s="101"/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28" t="s">
        <v>137</v>
      </c>
      <c r="B64" s="129"/>
      <c r="C64" s="129"/>
      <c r="D64" s="129"/>
      <c r="E64" s="129"/>
      <c r="F64" s="129"/>
      <c r="G64" s="134"/>
      <c r="H64" s="135"/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93"/>
      <c r="B65" s="90"/>
      <c r="C65" s="90"/>
      <c r="D65" s="90"/>
      <c r="E65" s="90"/>
      <c r="F65" s="90"/>
      <c r="G65" s="90"/>
      <c r="H65" s="101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130" t="s">
        <v>91</v>
      </c>
      <c r="B66" s="131"/>
      <c r="C66" s="131"/>
      <c r="D66" s="131"/>
      <c r="E66" s="131"/>
      <c r="F66" s="90"/>
      <c r="G66" s="90"/>
      <c r="H66" s="101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132" t="s">
        <v>138</v>
      </c>
      <c r="B67" s="131"/>
      <c r="C67" s="131"/>
      <c r="D67" s="131"/>
      <c r="E67" s="131"/>
      <c r="F67" s="90"/>
      <c r="G67" s="90"/>
      <c r="H67" s="101"/>
      <c r="I67" s="3"/>
      <c r="J67" s="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194" t="s">
        <v>139</v>
      </c>
      <c r="B68" s="133"/>
      <c r="C68" s="133"/>
      <c r="D68" s="133"/>
      <c r="E68" s="133"/>
      <c r="F68" s="97"/>
      <c r="G68" s="97"/>
      <c r="H68" s="136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44"/>
      <c r="B69" s="44"/>
      <c r="C69" s="44"/>
      <c r="D69" s="44"/>
      <c r="E69" s="44"/>
      <c r="F69" s="44"/>
      <c r="G69" s="44"/>
      <c r="H69" s="44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44"/>
      <c r="B70" s="44"/>
      <c r="C70" s="44"/>
      <c r="D70" s="44"/>
      <c r="E70" s="44"/>
      <c r="F70" s="44"/>
      <c r="G70" s="44"/>
      <c r="H70" s="4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3"/>
      <c r="B72" s="43"/>
      <c r="C72" s="43"/>
      <c r="D72" s="43"/>
      <c r="E72" s="43"/>
      <c r="F72" s="43"/>
      <c r="G72" s="43"/>
      <c r="H72" s="43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5" ht="13.5" customHeight="1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44:K44"/>
    <mergeCell ref="J19:K19"/>
    <mergeCell ref="M16:P16"/>
    <mergeCell ref="Q16:T16"/>
    <mergeCell ref="U16:W16"/>
    <mergeCell ref="J33:K33"/>
    <mergeCell ref="T31:V31"/>
    <mergeCell ref="J57:Y57"/>
    <mergeCell ref="J56:Y56"/>
    <mergeCell ref="J45:K45"/>
    <mergeCell ref="A1:H1"/>
    <mergeCell ref="B5:C5"/>
    <mergeCell ref="A2:H2"/>
    <mergeCell ref="J20:K20"/>
    <mergeCell ref="J21:K21"/>
    <mergeCell ref="J37:K37"/>
    <mergeCell ref="J43:K43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3:H13 G24 H45 G48" formula="1"/>
    <ignoredError sqref="H5 F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W. Don Shurley, Jr.</cp:lastModifiedBy>
  <cp:lastPrinted>2017-03-09T15:42:09Z</cp:lastPrinted>
  <dcterms:created xsi:type="dcterms:W3CDTF">2005-11-29T13:52:22Z</dcterms:created>
  <dcterms:modified xsi:type="dcterms:W3CDTF">2017-03-09T15:43:44Z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