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" yWindow="1212" windowWidth="14976" windowHeight="6240" activeTab="0"/>
  </bookViews>
  <sheets>
    <sheet name="2017-NGA" sheetId="1" r:id="rId1"/>
  </sheets>
  <definedNames>
    <definedName name="_xlnm.Print_Area" localSheetId="0">'2017-NGA'!$A$1:$Y$83</definedName>
    <definedName name="Production">'2017-NGA'!$AH$4:$AH$5</definedName>
    <definedName name="row">'2017-NGA'!$AI$4:$AI$6</definedName>
    <definedName name="Technology">'2017-NGA'!$AF$5:$AF$8</definedName>
    <definedName name="Tillage">'2017-NGA'!$AG$4:$AG$6</definedName>
  </definedNames>
  <calcPr fullCalcOnLoad="1"/>
</workbook>
</file>

<file path=xl/sharedStrings.xml><?xml version="1.0" encoding="utf-8"?>
<sst xmlns="http://schemas.openxmlformats.org/spreadsheetml/2006/main" count="200" uniqueCount="153">
  <si>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</si>
  <si>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</si>
  <si>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</si>
  <si>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</si>
  <si>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</si>
  <si>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</si>
  <si>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</si>
  <si>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</si>
  <si>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</si>
  <si>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</si>
  <si>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</si>
  <si>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</si>
  <si>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</si>
  <si>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</si>
  <si>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</si>
  <si>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</si>
  <si>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</si>
  <si>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</si>
  <si>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</si>
  <si>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</si>
  <si>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</si>
  <si>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</si>
  <si>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</si>
  <si>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</si>
  <si>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</si>
  <si>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</si>
  <si>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</si>
  <si>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</si>
  <si>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</si>
  <si>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</si>
  <si>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</si>
  <si>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</si>
  <si>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</si>
  <si>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Equipment/Implements</t>
  </si>
  <si>
    <t>Production:</t>
  </si>
  <si>
    <t>Tillage:</t>
  </si>
  <si>
    <t>Seed Technology:</t>
  </si>
  <si>
    <t>Non-Irrigated</t>
  </si>
  <si>
    <t>Lbs/Acre</t>
  </si>
  <si>
    <t>Income/Ac</t>
  </si>
  <si>
    <t>Ounces</t>
  </si>
  <si>
    <t>Row Spacing: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</si>
  <si>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</si>
  <si>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</si>
  <si>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</si>
  <si>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</si>
  <si>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</si>
  <si>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</si>
  <si>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</si>
  <si>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</si>
  <si>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</si>
  <si>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</si>
  <si>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</si>
  <si>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</si>
  <si>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</si>
  <si>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</si>
  <si>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</si>
  <si>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</si>
  <si>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</si>
  <si>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</si>
  <si>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</si>
  <si>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</si>
  <si>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</si>
  <si>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</si>
  <si>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</si>
  <si>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</si>
  <si>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</si>
  <si>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</si>
  <si>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</si>
  <si>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</si>
  <si>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</si>
  <si>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</si>
  <si>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</si>
  <si>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</si>
  <si>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</si>
  <si>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</si>
  <si>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</si>
  <si>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</si>
  <si>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</si>
  <si>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</si>
  <si>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</si>
  <si>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</si>
  <si>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</si>
  <si>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</si>
  <si>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</si>
  <si>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This Crop</t>
  </si>
  <si>
    <t>ACKNOWLEDGEMENT</t>
  </si>
  <si>
    <t>EXPECTED INCOME</t>
  </si>
  <si>
    <t>Fixed</t>
  </si>
  <si>
    <t>Int</t>
  </si>
  <si>
    <t>NGW</t>
  </si>
  <si>
    <t>Defoliant and Boll Opener</t>
  </si>
  <si>
    <t>Labor</t>
  </si>
  <si>
    <t>Weed Control</t>
  </si>
  <si>
    <t>VARIABLE COST</t>
  </si>
  <si>
    <t>Applications</t>
  </si>
  <si>
    <t>Rent/Ac</t>
  </si>
  <si>
    <t>Seed Per Acre:</t>
  </si>
  <si>
    <t>1,000 seed</t>
  </si>
  <si>
    <t xml:space="preserve">   At Planting or PRE</t>
  </si>
  <si>
    <t xml:space="preserve">   POST</t>
  </si>
  <si>
    <t xml:space="preserve">   Layby</t>
  </si>
  <si>
    <t>Nematicide (If no seed treatment used)</t>
  </si>
  <si>
    <t>Fungicide (If no seed treatment used)</t>
  </si>
  <si>
    <t>Module Builder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</si>
  <si>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</si>
  <si>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</si>
  <si>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</si>
  <si>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</si>
  <si>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</si>
  <si>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 xml:space="preserve">   Burndown</t>
  </si>
  <si>
    <t>COTTON, North Georgia, Minimum Tillage, Non-Irrigated</t>
  </si>
  <si>
    <t>Minimum Till/ No-Till</t>
  </si>
  <si>
    <t>Cover Crop- Wheat Seed</t>
  </si>
  <si>
    <t>Cover Crop- Fertilizer (K2O)</t>
  </si>
  <si>
    <t xml:space="preserve">   In-Furrow</t>
  </si>
  <si>
    <t xml:space="preserve">   Spray- Thrips</t>
  </si>
  <si>
    <t xml:space="preserve">   Spray- Stink Bugs, Plant Bugs</t>
  </si>
  <si>
    <t>200 HP</t>
  </si>
  <si>
    <t>150 HP</t>
  </si>
  <si>
    <t>130 HP</t>
  </si>
  <si>
    <t>Ripper 7-24"</t>
  </si>
  <si>
    <t xml:space="preserve">Spray-- burndown </t>
  </si>
  <si>
    <t>Spray-- POST herb + insecticide</t>
  </si>
  <si>
    <t>Spray-- POST herb</t>
  </si>
  <si>
    <t>Spray-- insecticide</t>
  </si>
  <si>
    <t>Spray- PGR + boron</t>
  </si>
  <si>
    <t>Spray- PGR</t>
  </si>
  <si>
    <t>Spray- defloiate</t>
  </si>
  <si>
    <t>Picker- 4 row</t>
  </si>
  <si>
    <t>Mow stalks-- 15 ft</t>
  </si>
  <si>
    <t>Developed by Don Shurley, Department of Agricultural and Applied Economics, University of Georgia.</t>
  </si>
  <si>
    <t>Developed by Don Shurley</t>
  </si>
  <si>
    <t>Custom Applications</t>
  </si>
  <si>
    <t>Plant- 8-row w/ in-furrow spray</t>
  </si>
  <si>
    <t>Funding support provided by the Georgia Cotton Commission.</t>
  </si>
  <si>
    <t>Sidedress-- 8 row liquid</t>
  </si>
  <si>
    <t xml:space="preserve">* All acres for the implement including multiple trips over the field.  Disking 1,000 acres 2 times would be 2,000 acres total.  Spraying 1,000 acres 6 times would be 6,000 acres. </t>
  </si>
  <si>
    <r>
      <t>Seed</t>
    </r>
    <r>
      <rPr>
        <sz val="9"/>
        <rFont val="Arial"/>
        <family val="2"/>
      </rPr>
      <t xml:space="preserve"> (Including Tech Fees and Seed Treatments)</t>
    </r>
  </si>
  <si>
    <t>Crop Insurance (Excluding STAX)</t>
  </si>
  <si>
    <t>2017 ESTIMATED PER ACRE COSTS AND RETURNS</t>
  </si>
  <si>
    <t>*B2RF, B2XF, WRF, GLT, or GLB2</t>
  </si>
  <si>
    <t>Spray- Layby herb+insect+PGR</t>
  </si>
  <si>
    <t>Disk Harrow- 28 ft</t>
  </si>
  <si>
    <t>Custom fertilizer</t>
  </si>
  <si>
    <t>Spray- insecticide + PGR</t>
  </si>
  <si>
    <t>March 2017</t>
  </si>
  <si>
    <t>Custom broadcast cover + fertilizer</t>
  </si>
  <si>
    <t>Funding support provided by the Georgia Cotton Commission</t>
  </si>
  <si>
    <t>** Planning or budget price based on futures prices and outlook as of early March 2017.  Includes adjustments for fiber quality.</t>
  </si>
  <si>
    <t>Avg Price**</t>
  </si>
  <si>
    <t xml:space="preserve">* This does not constitute a recommendation of technologies.  These were the technologies most widely planted in GA in 2016.  </t>
  </si>
  <si>
    <t xml:space="preserve">Special thanks to growers, County Extension Agents, UGA Cotton Team, and industry representatives for providing data, input, and review/suggestions.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</si>
</sst>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&quot;$&quot;#,##0.00"/>
    <numFmt numFmtId="169" formatCode="_(* #,##0.0_);_(* \(#,##0.0\);_(* &quot;-&quot;??_);_(@_)"/>
    <numFmt numFmtId="170" formatCode="_(* #,##0_);_(* \(#,##0\);_(* &quot;-&quot;??_);_(@_)"/>
    <numFmt numFmtId="171" formatCode="&quot;$&quot;#,##0.0"/>
    <numFmt numFmtId="172" formatCode="&quot;$&quot;#,##0"/>
    <numFmt numFmtId="173" formatCode="0.000000000"/>
    <numFmt numFmtId="174" formatCode="0.00000000"/>
    <numFmt numFmtId="175" formatCode="0.0000000"/>
    <numFmt numFmtId="176" formatCode="0.000000"/>
    <numFmt numFmtId="177" formatCode="&quot;$&quot;#,##0.0_);\(&quot;$&quot;#,##0.0\)"/>
    <numFmt numFmtId="178" formatCode="&quot;$&quot;#,##0.000_);\(&quot;$&quot;#,##0.000\)"/>
    <numFmt numFmtId="179" formatCode="&quot;$&quot;#,##0.000"/>
    <numFmt numFmtId="180" formatCode="#,##0.0"/>
    <numFmt numFmtId="181" formatCode="0.0%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;[Red]&quot;$&quot;#,##0.00"/>
  </numFmts>
  <fonts count="6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000396251678"/>
      <name val="Arial"/>
      <family val="2"/>
    </font>
    <font>
      <b/>
      <i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F587"/>
        <bgColor indexed="64"/>
      </patternFill>
    </fill>
    <fill>
      <patternFill patternType="solid">
        <fgColor rgb="FFCBF58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2" fontId="2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2" fontId="10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2" fontId="11" fillId="33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 quotePrefix="1">
      <alignment/>
    </xf>
    <xf numFmtId="16" fontId="15" fillId="34" borderId="0" xfId="0" applyNumberFormat="1" applyFont="1" applyFill="1" applyBorder="1" applyAlignment="1" applyProtection="1" quotePrefix="1">
      <alignment horizontal="right"/>
      <protection/>
    </xf>
    <xf numFmtId="0" fontId="18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58" fillId="33" borderId="0" xfId="0" applyFont="1" applyFill="1" applyAlignment="1" applyProtection="1">
      <alignment horizontal="right"/>
      <protection hidden="1"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15" fillId="36" borderId="0" xfId="0" applyFont="1" applyFill="1" applyBorder="1" applyAlignment="1" applyProtection="1">
      <alignment/>
      <protection/>
    </xf>
    <xf numFmtId="16" fontId="15" fillId="36" borderId="0" xfId="0" applyNumberFormat="1" applyFont="1" applyFill="1" applyBorder="1" applyAlignment="1" applyProtection="1" quotePrefix="1">
      <alignment horizontal="right"/>
      <protection/>
    </xf>
    <xf numFmtId="0" fontId="16" fillId="33" borderId="0" xfId="0" applyFont="1" applyFill="1" applyAlignment="1" applyProtection="1">
      <alignment horizontal="right"/>
      <protection hidden="1"/>
    </xf>
    <xf numFmtId="2" fontId="0" fillId="33" borderId="0" xfId="0" applyNumberFormat="1" applyFill="1" applyAlignment="1" applyProtection="1">
      <alignment/>
      <protection/>
    </xf>
    <xf numFmtId="2" fontId="59" fillId="0" borderId="0" xfId="0" applyNumberFormat="1" applyFont="1" applyAlignment="1" applyProtection="1">
      <alignment/>
      <protection/>
    </xf>
    <xf numFmtId="166" fontId="58" fillId="33" borderId="0" xfId="0" applyNumberFormat="1" applyFont="1" applyFill="1" applyAlignment="1" applyProtection="1">
      <alignment/>
      <protection/>
    </xf>
    <xf numFmtId="2" fontId="58" fillId="35" borderId="0" xfId="0" applyNumberFormat="1" applyFont="1" applyFill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2" fontId="0" fillId="35" borderId="10" xfId="0" applyNumberFormat="1" applyFont="1" applyFill="1" applyBorder="1" applyAlignment="1" applyProtection="1">
      <alignment/>
      <protection locked="0"/>
    </xf>
    <xf numFmtId="188" fontId="12" fillId="35" borderId="10" xfId="44" applyNumberFormat="1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/>
      <protection locked="0"/>
    </xf>
    <xf numFmtId="164" fontId="10" fillId="35" borderId="10" xfId="0" applyNumberFormat="1" applyFont="1" applyFill="1" applyBorder="1" applyAlignment="1" applyProtection="1">
      <alignment/>
      <protection locked="0"/>
    </xf>
    <xf numFmtId="2" fontId="10" fillId="35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/>
      <protection locked="0"/>
    </xf>
    <xf numFmtId="1" fontId="10" fillId="35" borderId="10" xfId="0" applyNumberFormat="1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right" vertical="center"/>
      <protection locked="0"/>
    </xf>
    <xf numFmtId="2" fontId="6" fillId="35" borderId="10" xfId="0" applyNumberFormat="1" applyFont="1" applyFill="1" applyBorder="1" applyAlignment="1" applyProtection="1">
      <alignment horizontal="right" vertical="center"/>
      <protection locked="0"/>
    </xf>
    <xf numFmtId="0" fontId="5" fillId="35" borderId="10" xfId="0" applyFont="1" applyFill="1" applyBorder="1" applyAlignment="1" applyProtection="1">
      <alignment horizontal="right" vertical="center"/>
      <protection locked="0"/>
    </xf>
    <xf numFmtId="165" fontId="5" fillId="35" borderId="10" xfId="0" applyNumberFormat="1" applyFont="1" applyFill="1" applyBorder="1" applyAlignment="1" applyProtection="1">
      <alignment horizontal="right" vertical="center"/>
      <protection locked="0"/>
    </xf>
    <xf numFmtId="2" fontId="5" fillId="35" borderId="10" xfId="0" applyNumberFormat="1" applyFont="1" applyFill="1" applyBorder="1" applyAlignment="1" applyProtection="1">
      <alignment horizontal="right" vertical="center"/>
      <protection locked="0"/>
    </xf>
    <xf numFmtId="10" fontId="5" fillId="35" borderId="10" xfId="59" applyNumberFormat="1" applyFont="1" applyFill="1" applyBorder="1" applyAlignment="1" applyProtection="1">
      <alignment horizontal="right" vertical="center"/>
      <protection locked="0"/>
    </xf>
    <xf numFmtId="2" fontId="5" fillId="35" borderId="10" xfId="0" applyNumberFormat="1" applyFont="1" applyFill="1" applyBorder="1" applyAlignment="1" applyProtection="1">
      <alignment/>
      <protection locked="0"/>
    </xf>
    <xf numFmtId="9" fontId="5" fillId="35" borderId="10" xfId="59" applyFont="1" applyFill="1" applyBorder="1" applyAlignment="1" applyProtection="1">
      <alignment horizontal="right" vertical="center"/>
      <protection locked="0"/>
    </xf>
    <xf numFmtId="181" fontId="5" fillId="35" borderId="10" xfId="59" applyNumberFormat="1" applyFont="1" applyFill="1" applyBorder="1" applyAlignment="1" applyProtection="1">
      <alignment horizontal="right" vertical="center"/>
      <protection locked="0"/>
    </xf>
    <xf numFmtId="0" fontId="59" fillId="35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61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2" fontId="5" fillId="35" borderId="11" xfId="0" applyNumberFormat="1" applyFont="1" applyFill="1" applyBorder="1" applyAlignment="1" applyProtection="1">
      <alignment horizontal="right" vertical="center"/>
      <protection locked="0"/>
    </xf>
    <xf numFmtId="0" fontId="6" fillId="37" borderId="12" xfId="0" applyFont="1" applyFill="1" applyBorder="1" applyAlignment="1" applyProtection="1">
      <alignment horizontal="left" vertical="center"/>
      <protection/>
    </xf>
    <xf numFmtId="0" fontId="6" fillId="37" borderId="0" xfId="0" applyFont="1" applyFill="1" applyBorder="1" applyAlignment="1" applyProtection="1">
      <alignment horizontal="left" vertical="center"/>
      <protection/>
    </xf>
    <xf numFmtId="0" fontId="5" fillId="37" borderId="0" xfId="0" applyFont="1" applyFill="1" applyBorder="1" applyAlignment="1" applyProtection="1" quotePrefix="1">
      <alignment horizontal="center"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0" fontId="6" fillId="37" borderId="13" xfId="0" applyFont="1" applyFill="1" applyBorder="1" applyAlignment="1" applyProtection="1">
      <alignment horizontal="left" vertical="center"/>
      <protection/>
    </xf>
    <xf numFmtId="0" fontId="6" fillId="37" borderId="14" xfId="0" applyFont="1" applyFill="1" applyBorder="1" applyAlignment="1" applyProtection="1">
      <alignment horizontal="right" vertical="center"/>
      <protection/>
    </xf>
    <xf numFmtId="0" fontId="0" fillId="37" borderId="12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4" fillId="37" borderId="12" xfId="0" applyFont="1" applyFill="1" applyBorder="1" applyAlignment="1" applyProtection="1">
      <alignment horizontal="left" vertical="center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right" vertical="center"/>
      <protection/>
    </xf>
    <xf numFmtId="0" fontId="5" fillId="37" borderId="14" xfId="0" applyFont="1" applyFill="1" applyBorder="1" applyAlignment="1" applyProtection="1">
      <alignment/>
      <protection/>
    </xf>
    <xf numFmtId="0" fontId="5" fillId="37" borderId="12" xfId="0" applyFont="1" applyFill="1" applyBorder="1" applyAlignment="1" applyProtection="1">
      <alignment horizontal="left" vertical="center"/>
      <protection/>
    </xf>
    <xf numFmtId="0" fontId="5" fillId="37" borderId="0" xfId="0" applyFont="1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 horizontal="right" vertical="center"/>
      <protection/>
    </xf>
    <xf numFmtId="3" fontId="6" fillId="37" borderId="15" xfId="42" applyNumberFormat="1" applyFont="1" applyFill="1" applyBorder="1" applyAlignment="1" applyProtection="1">
      <alignment horizontal="right" vertical="center"/>
      <protection/>
    </xf>
    <xf numFmtId="0" fontId="0" fillId="37" borderId="16" xfId="0" applyFill="1" applyBorder="1" applyAlignment="1" applyProtection="1">
      <alignment/>
      <protection/>
    </xf>
    <xf numFmtId="0" fontId="6" fillId="37" borderId="16" xfId="0" applyFont="1" applyFill="1" applyBorder="1" applyAlignment="1" applyProtection="1">
      <alignment horizontal="right" vertical="center"/>
      <protection/>
    </xf>
    <xf numFmtId="2" fontId="6" fillId="37" borderId="16" xfId="0" applyNumberFormat="1" applyFont="1" applyFill="1" applyBorder="1" applyAlignment="1" applyProtection="1">
      <alignment horizontal="right" vertical="center"/>
      <protection/>
    </xf>
    <xf numFmtId="0" fontId="6" fillId="37" borderId="17" xfId="0" applyFont="1" applyFill="1" applyBorder="1" applyAlignment="1" applyProtection="1">
      <alignment horizontal="right" vertical="center"/>
      <protection/>
    </xf>
    <xf numFmtId="168" fontId="6" fillId="37" borderId="0" xfId="0" applyNumberFormat="1" applyFont="1" applyFill="1" applyBorder="1" applyAlignment="1" applyProtection="1">
      <alignment horizontal="right" vertical="center"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2" fontId="5" fillId="37" borderId="16" xfId="0" applyNumberFormat="1" applyFont="1" applyFill="1" applyBorder="1" applyAlignment="1" applyProtection="1">
      <alignment horizontal="right" vertical="center"/>
      <protection/>
    </xf>
    <xf numFmtId="168" fontId="5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right"/>
      <protection/>
    </xf>
    <xf numFmtId="2" fontId="5" fillId="37" borderId="0" xfId="0" applyNumberFormat="1" applyFont="1" applyFill="1" applyBorder="1" applyAlignment="1" applyProtection="1">
      <alignment/>
      <protection/>
    </xf>
    <xf numFmtId="2" fontId="5" fillId="37" borderId="16" xfId="0" applyNumberFormat="1" applyFont="1" applyFill="1" applyBorder="1" applyAlignment="1" applyProtection="1">
      <alignment/>
      <protection/>
    </xf>
    <xf numFmtId="0" fontId="5" fillId="37" borderId="13" xfId="0" applyFont="1" applyFill="1" applyBorder="1" applyAlignment="1" applyProtection="1">
      <alignment horizontal="left" vertical="center"/>
      <protection/>
    </xf>
    <xf numFmtId="0" fontId="6" fillId="37" borderId="18" xfId="0" applyFont="1" applyFill="1" applyBorder="1" applyAlignment="1" applyProtection="1">
      <alignment horizontal="left" vertical="center"/>
      <protection/>
    </xf>
    <xf numFmtId="0" fontId="5" fillId="37" borderId="19" xfId="0" applyFont="1" applyFill="1" applyBorder="1" applyAlignment="1" applyProtection="1">
      <alignment/>
      <protection/>
    </xf>
    <xf numFmtId="0" fontId="6" fillId="37" borderId="19" xfId="0" applyFont="1" applyFill="1" applyBorder="1" applyAlignment="1" applyProtection="1">
      <alignment/>
      <protection/>
    </xf>
    <xf numFmtId="0" fontId="5" fillId="37" borderId="14" xfId="0" applyFont="1" applyFill="1" applyBorder="1" applyAlignment="1" applyProtection="1">
      <alignment horizontal="right" vertical="center"/>
      <protection/>
    </xf>
    <xf numFmtId="2" fontId="5" fillId="37" borderId="14" xfId="0" applyNumberFormat="1" applyFont="1" applyFill="1" applyBorder="1" applyAlignment="1" applyProtection="1">
      <alignment horizontal="right" vertical="center"/>
      <protection/>
    </xf>
    <xf numFmtId="0" fontId="5" fillId="37" borderId="19" xfId="0" applyFont="1" applyFill="1" applyBorder="1" applyAlignment="1" applyProtection="1">
      <alignment horizontal="right" vertical="center"/>
      <protection/>
    </xf>
    <xf numFmtId="0" fontId="6" fillId="37" borderId="19" xfId="0" applyFont="1" applyFill="1" applyBorder="1" applyAlignment="1" applyProtection="1">
      <alignment horizontal="right" vertical="center"/>
      <protection/>
    </xf>
    <xf numFmtId="2" fontId="5" fillId="37" borderId="17" xfId="0" applyNumberFormat="1" applyFont="1" applyFill="1" applyBorder="1" applyAlignment="1" applyProtection="1">
      <alignment horizontal="right" vertical="center"/>
      <protection/>
    </xf>
    <xf numFmtId="168" fontId="6" fillId="37" borderId="19" xfId="0" applyNumberFormat="1" applyFont="1" applyFill="1" applyBorder="1" applyAlignment="1" applyProtection="1">
      <alignment horizontal="right" vertical="center"/>
      <protection/>
    </xf>
    <xf numFmtId="4" fontId="6" fillId="37" borderId="15" xfId="0" applyNumberFormat="1" applyFont="1" applyFill="1" applyBorder="1" applyAlignment="1" applyProtection="1">
      <alignment horizontal="right" vertical="center"/>
      <protection/>
    </xf>
    <xf numFmtId="2" fontId="6" fillId="37" borderId="15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2" fontId="5" fillId="37" borderId="16" xfId="0" applyNumberFormat="1" applyFon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1" fillId="37" borderId="10" xfId="0" applyFont="1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0" fontId="1" fillId="37" borderId="18" xfId="0" applyFont="1" applyFill="1" applyBorder="1" applyAlignment="1" applyProtection="1">
      <alignment/>
      <protection/>
    </xf>
    <xf numFmtId="0" fontId="1" fillId="37" borderId="19" xfId="0" applyFont="1" applyFill="1" applyBorder="1" applyAlignment="1" applyProtection="1">
      <alignment/>
      <protection/>
    </xf>
    <xf numFmtId="0" fontId="0" fillId="37" borderId="20" xfId="0" applyFont="1" applyFill="1" applyBorder="1" applyAlignment="1" applyProtection="1">
      <alignment/>
      <protection/>
    </xf>
    <xf numFmtId="0" fontId="0" fillId="37" borderId="21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0" fontId="0" fillId="37" borderId="14" xfId="0" applyFont="1" applyFill="1" applyBorder="1" applyAlignment="1" applyProtection="1">
      <alignment/>
      <protection/>
    </xf>
    <xf numFmtId="0" fontId="1" fillId="37" borderId="20" xfId="0" applyFont="1" applyFill="1" applyBorder="1" applyAlignment="1" applyProtection="1">
      <alignment/>
      <protection/>
    </xf>
    <xf numFmtId="0" fontId="0" fillId="37" borderId="22" xfId="0" applyFill="1" applyBorder="1" applyAlignment="1" applyProtection="1">
      <alignment/>
      <protection/>
    </xf>
    <xf numFmtId="0" fontId="1" fillId="37" borderId="17" xfId="0" applyFont="1" applyFill="1" applyBorder="1" applyAlignment="1" applyProtection="1">
      <alignment horizontal="right"/>
      <protection/>
    </xf>
    <xf numFmtId="0" fontId="0" fillId="37" borderId="19" xfId="0" applyFont="1" applyFill="1" applyBorder="1" applyAlignment="1" applyProtection="1">
      <alignment/>
      <protection/>
    </xf>
    <xf numFmtId="0" fontId="0" fillId="37" borderId="15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right"/>
      <protection/>
    </xf>
    <xf numFmtId="0" fontId="0" fillId="37" borderId="22" xfId="0" applyFont="1" applyFill="1" applyBorder="1" applyAlignment="1" applyProtection="1">
      <alignment/>
      <protection/>
    </xf>
    <xf numFmtId="1" fontId="0" fillId="37" borderId="10" xfId="0" applyNumberFormat="1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/>
    </xf>
    <xf numFmtId="2" fontId="0" fillId="37" borderId="10" xfId="0" applyNumberFormat="1" applyFont="1" applyFill="1" applyBorder="1" applyAlignment="1" applyProtection="1">
      <alignment/>
      <protection/>
    </xf>
    <xf numFmtId="165" fontId="0" fillId="37" borderId="10" xfId="0" applyNumberFormat="1" applyFont="1" applyFill="1" applyBorder="1" applyAlignment="1" applyProtection="1">
      <alignment/>
      <protection/>
    </xf>
    <xf numFmtId="0" fontId="0" fillId="37" borderId="18" xfId="0" applyFont="1" applyFill="1" applyBorder="1" applyAlignment="1" applyProtection="1">
      <alignment/>
      <protection/>
    </xf>
    <xf numFmtId="165" fontId="0" fillId="37" borderId="19" xfId="0" applyNumberFormat="1" applyFont="1" applyFill="1" applyBorder="1" applyAlignment="1" applyProtection="1">
      <alignment/>
      <protection/>
    </xf>
    <xf numFmtId="1" fontId="0" fillId="37" borderId="19" xfId="0" applyNumberFormat="1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/>
      <protection/>
    </xf>
    <xf numFmtId="164" fontId="0" fillId="37" borderId="14" xfId="0" applyNumberFormat="1" applyFont="1" applyFill="1" applyBorder="1" applyAlignment="1" applyProtection="1">
      <alignment/>
      <protection/>
    </xf>
    <xf numFmtId="2" fontId="0" fillId="37" borderId="14" xfId="0" applyNumberFormat="1" applyFont="1" applyFill="1" applyBorder="1" applyAlignment="1" applyProtection="1">
      <alignment/>
      <protection/>
    </xf>
    <xf numFmtId="2" fontId="0" fillId="37" borderId="17" xfId="0" applyNumberFormat="1" applyFont="1" applyFill="1" applyBorder="1" applyAlignment="1" applyProtection="1">
      <alignment/>
      <protection/>
    </xf>
    <xf numFmtId="164" fontId="1" fillId="37" borderId="19" xfId="0" applyNumberFormat="1" applyFont="1" applyFill="1" applyBorder="1" applyAlignment="1" applyProtection="1">
      <alignment/>
      <protection/>
    </xf>
    <xf numFmtId="1" fontId="1" fillId="37" borderId="19" xfId="0" applyNumberFormat="1" applyFont="1" applyFill="1" applyBorder="1" applyAlignment="1" applyProtection="1">
      <alignment/>
      <protection/>
    </xf>
    <xf numFmtId="2" fontId="1" fillId="37" borderId="19" xfId="0" applyNumberFormat="1" applyFont="1" applyFill="1" applyBorder="1" applyAlignment="1" applyProtection="1">
      <alignment/>
      <protection/>
    </xf>
    <xf numFmtId="2" fontId="1" fillId="37" borderId="15" xfId="0" applyNumberFormat="1" applyFont="1" applyFill="1" applyBorder="1" applyAlignment="1" applyProtection="1">
      <alignment/>
      <protection/>
    </xf>
    <xf numFmtId="0" fontId="12" fillId="37" borderId="18" xfId="0" applyFont="1" applyFill="1" applyBorder="1" applyAlignment="1" applyProtection="1">
      <alignment/>
      <protection/>
    </xf>
    <xf numFmtId="0" fontId="12" fillId="37" borderId="19" xfId="0" applyFont="1" applyFill="1" applyBorder="1" applyAlignment="1" applyProtection="1">
      <alignment/>
      <protection/>
    </xf>
    <xf numFmtId="0" fontId="10" fillId="37" borderId="21" xfId="0" applyFont="1" applyFill="1" applyBorder="1" applyAlignment="1" applyProtection="1">
      <alignment/>
      <protection/>
    </xf>
    <xf numFmtId="0" fontId="11" fillId="37" borderId="13" xfId="0" applyFont="1" applyFill="1" applyBorder="1" applyAlignment="1" applyProtection="1">
      <alignment/>
      <protection/>
    </xf>
    <xf numFmtId="0" fontId="10" fillId="37" borderId="14" xfId="0" applyFont="1" applyFill="1" applyBorder="1" applyAlignment="1" applyProtection="1">
      <alignment/>
      <protection/>
    </xf>
    <xf numFmtId="0" fontId="11" fillId="37" borderId="21" xfId="0" applyFont="1" applyFill="1" applyBorder="1" applyAlignment="1" applyProtection="1">
      <alignment horizontal="right"/>
      <protection/>
    </xf>
    <xf numFmtId="0" fontId="11" fillId="37" borderId="14" xfId="0" applyFont="1" applyFill="1" applyBorder="1" applyAlignment="1" applyProtection="1">
      <alignment horizontal="right"/>
      <protection/>
    </xf>
    <xf numFmtId="0" fontId="13" fillId="37" borderId="19" xfId="0" applyFont="1" applyFill="1" applyBorder="1" applyAlignment="1" applyProtection="1">
      <alignment/>
      <protection/>
    </xf>
    <xf numFmtId="0" fontId="13" fillId="37" borderId="15" xfId="0" applyFont="1" applyFill="1" applyBorder="1" applyAlignment="1" applyProtection="1">
      <alignment/>
      <protection/>
    </xf>
    <xf numFmtId="0" fontId="11" fillId="37" borderId="21" xfId="0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horizontal="right"/>
      <protection/>
    </xf>
    <xf numFmtId="1" fontId="10" fillId="37" borderId="10" xfId="0" applyNumberFormat="1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1" fontId="11" fillId="37" borderId="19" xfId="0" applyNumberFormat="1" applyFont="1" applyFill="1" applyBorder="1" applyAlignment="1" applyProtection="1">
      <alignment/>
      <protection/>
    </xf>
    <xf numFmtId="2" fontId="10" fillId="37" borderId="10" xfId="0" applyNumberFormat="1" applyFont="1" applyFill="1" applyBorder="1" applyAlignment="1" applyProtection="1">
      <alignment/>
      <protection/>
    </xf>
    <xf numFmtId="2" fontId="11" fillId="37" borderId="19" xfId="0" applyNumberFormat="1" applyFont="1" applyFill="1" applyBorder="1" applyAlignment="1" applyProtection="1">
      <alignment/>
      <protection/>
    </xf>
    <xf numFmtId="1" fontId="10" fillId="37" borderId="10" xfId="0" applyNumberFormat="1" applyFont="1" applyFill="1" applyBorder="1" applyAlignment="1" applyProtection="1">
      <alignment horizontal="right"/>
      <protection/>
    </xf>
    <xf numFmtId="165" fontId="10" fillId="37" borderId="10" xfId="0" applyNumberFormat="1" applyFont="1" applyFill="1" applyBorder="1" applyAlignment="1" applyProtection="1">
      <alignment/>
      <protection/>
    </xf>
    <xf numFmtId="164" fontId="10" fillId="37" borderId="10" xfId="0" applyNumberFormat="1" applyFont="1" applyFill="1" applyBorder="1" applyAlignment="1" applyProtection="1">
      <alignment/>
      <protection/>
    </xf>
    <xf numFmtId="165" fontId="11" fillId="37" borderId="19" xfId="0" applyNumberFormat="1" applyFont="1" applyFill="1" applyBorder="1" applyAlignment="1" applyProtection="1">
      <alignment/>
      <protection/>
    </xf>
    <xf numFmtId="0" fontId="11" fillId="37" borderId="19" xfId="0" applyFont="1" applyFill="1" applyBorder="1" applyAlignment="1" applyProtection="1">
      <alignment/>
      <protection/>
    </xf>
    <xf numFmtId="2" fontId="11" fillId="37" borderId="15" xfId="0" applyNumberFormat="1" applyFont="1" applyFill="1" applyBorder="1" applyAlignment="1" applyProtection="1">
      <alignment/>
      <protection/>
    </xf>
    <xf numFmtId="0" fontId="10" fillId="37" borderId="18" xfId="0" applyFont="1" applyFill="1" applyBorder="1" applyAlignment="1" applyProtection="1">
      <alignment/>
      <protection/>
    </xf>
    <xf numFmtId="0" fontId="10" fillId="37" borderId="15" xfId="0" applyFont="1" applyFill="1" applyBorder="1" applyAlignment="1" applyProtection="1">
      <alignment/>
      <protection/>
    </xf>
    <xf numFmtId="0" fontId="11" fillId="37" borderId="18" xfId="0" applyFont="1" applyFill="1" applyBorder="1" applyAlignment="1" applyProtection="1">
      <alignment/>
      <protection/>
    </xf>
    <xf numFmtId="168" fontId="5" fillId="37" borderId="14" xfId="0" applyNumberFormat="1" applyFont="1" applyFill="1" applyBorder="1" applyAlignment="1" applyProtection="1">
      <alignment horizontal="right" vertical="center"/>
      <protection/>
    </xf>
    <xf numFmtId="0" fontId="0" fillId="37" borderId="12" xfId="0" applyFont="1" applyFill="1" applyBorder="1" applyAlignment="1" applyProtection="1">
      <alignment horizontal="left" vertical="center"/>
      <protection/>
    </xf>
    <xf numFmtId="0" fontId="17" fillId="38" borderId="0" xfId="0" applyFont="1" applyFill="1" applyBorder="1" applyAlignment="1" applyProtection="1">
      <alignment/>
      <protection/>
    </xf>
    <xf numFmtId="0" fontId="15" fillId="38" borderId="12" xfId="0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/>
      <protection/>
    </xf>
    <xf numFmtId="16" fontId="15" fillId="38" borderId="12" xfId="0" applyNumberFormat="1" applyFont="1" applyFill="1" applyBorder="1" applyAlignment="1" applyProtection="1" quotePrefix="1">
      <alignment horizontal="left" vertical="center"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16" xfId="0" applyFont="1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10" fillId="35" borderId="18" xfId="0" applyFont="1" applyFill="1" applyBorder="1" applyAlignment="1" applyProtection="1">
      <alignment horizontal="left"/>
      <protection locked="0"/>
    </xf>
    <xf numFmtId="0" fontId="10" fillId="35" borderId="15" xfId="0" applyFont="1" applyFill="1" applyBorder="1" applyAlignment="1" applyProtection="1">
      <alignment horizontal="left"/>
      <protection locked="0"/>
    </xf>
    <xf numFmtId="0" fontId="6" fillId="37" borderId="14" xfId="0" applyFont="1" applyFill="1" applyBorder="1" applyAlignment="1" applyProtection="1">
      <alignment horizontal="left" vertic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2" fontId="5" fillId="37" borderId="19" xfId="0" applyNumberFormat="1" applyFont="1" applyFill="1" applyBorder="1" applyAlignment="1" applyProtection="1">
      <alignment horizontal="right" vertical="center"/>
      <protection/>
    </xf>
    <xf numFmtId="0" fontId="15" fillId="37" borderId="14" xfId="0" applyFont="1" applyFill="1" applyBorder="1" applyAlignment="1" applyProtection="1">
      <alignment/>
      <protection/>
    </xf>
    <xf numFmtId="0" fontId="10" fillId="35" borderId="18" xfId="0" applyFont="1" applyFill="1" applyBorder="1" applyAlignment="1" applyProtection="1">
      <alignment horizontal="left"/>
      <protection locked="0"/>
    </xf>
    <xf numFmtId="0" fontId="10" fillId="35" borderId="15" xfId="0" applyFont="1" applyFill="1" applyBorder="1" applyAlignment="1" applyProtection="1">
      <alignment horizontal="left"/>
      <protection locked="0"/>
    </xf>
    <xf numFmtId="0" fontId="10" fillId="35" borderId="10" xfId="0" applyFont="1" applyFill="1" applyBorder="1" applyAlignment="1" applyProtection="1">
      <alignment horizontal="left"/>
      <protection locked="0"/>
    </xf>
    <xf numFmtId="0" fontId="11" fillId="37" borderId="18" xfId="0" applyFont="1" applyFill="1" applyBorder="1" applyAlignment="1" applyProtection="1">
      <alignment horizontal="center"/>
      <protection/>
    </xf>
    <xf numFmtId="0" fontId="11" fillId="37" borderId="19" xfId="0" applyFont="1" applyFill="1" applyBorder="1" applyAlignment="1" applyProtection="1">
      <alignment horizontal="center"/>
      <protection/>
    </xf>
    <xf numFmtId="0" fontId="11" fillId="37" borderId="15" xfId="0" applyFont="1" applyFill="1" applyBorder="1" applyAlignment="1" applyProtection="1">
      <alignment horizont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6" fillId="35" borderId="21" xfId="0" applyFont="1" applyFill="1" applyBorder="1" applyAlignment="1" applyProtection="1">
      <alignment horizontal="center" vertical="center"/>
      <protection/>
    </xf>
    <xf numFmtId="0" fontId="6" fillId="35" borderId="2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165" fontId="1" fillId="37" borderId="10" xfId="0" applyNumberFormat="1" applyFont="1" applyFill="1" applyBorder="1" applyAlignment="1" applyProtection="1">
      <alignment horizontal="center"/>
      <protection/>
    </xf>
    <xf numFmtId="0" fontId="19" fillId="37" borderId="20" xfId="0" applyFont="1" applyFill="1" applyBorder="1" applyAlignment="1" applyProtection="1">
      <alignment horizontal="center" vertical="center"/>
      <protection/>
    </xf>
    <xf numFmtId="0" fontId="19" fillId="37" borderId="21" xfId="0" applyFont="1" applyFill="1" applyBorder="1" applyAlignment="1" applyProtection="1">
      <alignment horizontal="center" vertical="center"/>
      <protection/>
    </xf>
    <xf numFmtId="0" fontId="19" fillId="37" borderId="22" xfId="0" applyFont="1" applyFill="1" applyBorder="1" applyAlignment="1" applyProtection="1">
      <alignment horizontal="center" vertical="center"/>
      <protection/>
    </xf>
    <xf numFmtId="0" fontId="6" fillId="37" borderId="14" xfId="0" applyFont="1" applyFill="1" applyBorder="1" applyAlignment="1" applyProtection="1">
      <alignment horizontal="left" vertical="center"/>
      <protection/>
    </xf>
    <xf numFmtId="0" fontId="19" fillId="37" borderId="13" xfId="0" applyFont="1" applyFill="1" applyBorder="1" applyAlignment="1" applyProtection="1">
      <alignment horizontal="center" vertical="center"/>
      <protection/>
    </xf>
    <xf numFmtId="0" fontId="19" fillId="37" borderId="14" xfId="0" applyFont="1" applyFill="1" applyBorder="1" applyAlignment="1" applyProtection="1">
      <alignment horizontal="center" vertical="center"/>
      <protection/>
    </xf>
    <xf numFmtId="0" fontId="19" fillId="37" borderId="17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left"/>
      <protection locked="0"/>
    </xf>
    <xf numFmtId="0" fontId="1" fillId="35" borderId="20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 horizontal="center"/>
      <protection/>
    </xf>
    <xf numFmtId="0" fontId="1" fillId="35" borderId="22" xfId="0" applyFont="1" applyFill="1" applyBorder="1" applyAlignment="1" applyProtection="1">
      <alignment horizontal="center"/>
      <protection/>
    </xf>
    <xf numFmtId="0" fontId="1" fillId="37" borderId="18" xfId="0" applyFont="1" applyFill="1" applyBorder="1" applyAlignment="1" applyProtection="1">
      <alignment horizontal="center"/>
      <protection/>
    </xf>
    <xf numFmtId="0" fontId="1" fillId="37" borderId="19" xfId="0" applyFont="1" applyFill="1" applyBorder="1" applyAlignment="1" applyProtection="1">
      <alignment horizontal="center"/>
      <protection/>
    </xf>
    <xf numFmtId="0" fontId="1" fillId="37" borderId="15" xfId="0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1" fillId="35" borderId="14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8E95.0D87A37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66</xdr:row>
      <xdr:rowOff>114300</xdr:rowOff>
    </xdr:from>
    <xdr:to>
      <xdr:col>7</xdr:col>
      <xdr:colOff>942975</xdr:colOff>
      <xdr:row>69</xdr:row>
      <xdr:rowOff>133350</xdr:rowOff>
    </xdr:to>
    <xdr:pic>
      <xdr:nvPicPr>
        <xdr:cNvPr id="1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0" y="11601450"/>
          <a:ext cx="2047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64</xdr:row>
      <xdr:rowOff>95250</xdr:rowOff>
    </xdr:from>
    <xdr:to>
      <xdr:col>18</xdr:col>
      <xdr:colOff>171450</xdr:colOff>
      <xdr:row>67</xdr:row>
      <xdr:rowOff>76200</xdr:rowOff>
    </xdr:to>
    <xdr:pic>
      <xdr:nvPicPr>
        <xdr:cNvPr id="2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973050" y="11191875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2.7109375" style="0" customWidth="1"/>
    <col min="2" max="2" width="9.7109375" style="0" customWidth="1"/>
    <col min="3" max="3" width="5.7109375" style="0" customWidth="1"/>
    <col min="4" max="4" width="15.7109375" style="0" customWidth="1"/>
    <col min="5" max="8" width="14.7109375" style="0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style="0" customWidth="1"/>
    <col min="21" max="22" width="10.7109375" style="0" customWidth="1"/>
    <col min="23" max="28" width="9.7109375" style="0" customWidth="1"/>
    <col min="29" max="29" width="9.28125" style="0" bestFit="1" customWidth="1"/>
    <col min="30" max="30" width="10.28125" style="0" bestFit="1" customWidth="1"/>
    <col min="31" max="31" width="9.28125" style="0" bestFit="1" customWidth="1"/>
    <col min="32" max="32" width="11.00390625" style="0" customWidth="1"/>
    <col min="33" max="33" width="15.7109375" style="0" customWidth="1"/>
    <col min="34" max="34" width="9.7109375" style="0" customWidth="1"/>
    <col min="35" max="35" width="9.28125" style="0" bestFit="1" customWidth="1"/>
    <col min="36" max="36" width="11.00390625" style="0" customWidth="1"/>
  </cols>
  <sheetData>
    <row r="1" spans="1:38" ht="17.25" customHeight="1">
      <c r="A1" s="212" t="s">
        <v>111</v>
      </c>
      <c r="B1" s="213"/>
      <c r="C1" s="213"/>
      <c r="D1" s="213"/>
      <c r="E1" s="213"/>
      <c r="F1" s="213"/>
      <c r="G1" s="213"/>
      <c r="H1" s="214"/>
      <c r="I1" s="47"/>
      <c r="J1" s="204" t="s">
        <v>111</v>
      </c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6"/>
      <c r="Z1" s="11"/>
      <c r="AA1" s="11"/>
      <c r="AB1" s="11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>
      <c r="A2" s="216" t="s">
        <v>140</v>
      </c>
      <c r="B2" s="217"/>
      <c r="C2" s="217"/>
      <c r="D2" s="217"/>
      <c r="E2" s="217"/>
      <c r="F2" s="217"/>
      <c r="G2" s="217"/>
      <c r="H2" s="218"/>
      <c r="I2" s="47"/>
      <c r="J2" s="207" t="s">
        <v>140</v>
      </c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9"/>
      <c r="Z2" s="11"/>
      <c r="AA2" s="12"/>
      <c r="AB2" s="12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3.5" customHeight="1">
      <c r="A3" s="83" t="s">
        <v>36</v>
      </c>
      <c r="B3" s="84" t="s">
        <v>141</v>
      </c>
      <c r="C3" s="85"/>
      <c r="D3" s="84"/>
      <c r="E3" s="90"/>
      <c r="F3" s="84" t="s">
        <v>41</v>
      </c>
      <c r="G3" s="93"/>
      <c r="H3" s="69">
        <v>38</v>
      </c>
      <c r="I3" s="3"/>
      <c r="J3" s="3"/>
      <c r="K3" s="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11"/>
      <c r="AA3" s="12"/>
      <c r="AB3" s="12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3.5" customHeight="1">
      <c r="A4" s="83" t="s">
        <v>35</v>
      </c>
      <c r="B4" s="84" t="s">
        <v>112</v>
      </c>
      <c r="C4" s="84"/>
      <c r="D4" s="86"/>
      <c r="E4" s="90"/>
      <c r="F4" s="84" t="s">
        <v>42</v>
      </c>
      <c r="G4" s="93"/>
      <c r="H4" s="70">
        <v>3</v>
      </c>
      <c r="I4" s="3"/>
      <c r="J4" s="49"/>
      <c r="K4" s="49"/>
      <c r="L4" s="210" t="s">
        <v>106</v>
      </c>
      <c r="M4" s="210"/>
      <c r="N4" s="210"/>
      <c r="O4" s="210"/>
      <c r="P4" s="210"/>
      <c r="Q4" s="210"/>
      <c r="R4" s="210"/>
      <c r="S4" s="210"/>
      <c r="T4" s="210"/>
      <c r="U4" s="210"/>
      <c r="V4" s="41"/>
      <c r="W4" s="41"/>
      <c r="X4" s="41"/>
      <c r="Y4" s="41"/>
      <c r="Z4" s="11"/>
      <c r="AA4" s="12"/>
      <c r="AB4" s="12"/>
      <c r="AC4" s="6"/>
      <c r="AD4" s="6"/>
      <c r="AE4" s="7"/>
      <c r="AF4" s="24"/>
      <c r="AG4" s="10"/>
      <c r="AH4" s="7"/>
      <c r="AI4" s="7"/>
      <c r="AJ4" s="28"/>
      <c r="AK4" s="9"/>
      <c r="AL4" s="9"/>
    </row>
    <row r="5" spans="1:38" ht="13.5" customHeight="1">
      <c r="A5" s="87" t="s">
        <v>34</v>
      </c>
      <c r="B5" s="215" t="s">
        <v>37</v>
      </c>
      <c r="C5" s="215"/>
      <c r="D5" s="88"/>
      <c r="E5" s="97"/>
      <c r="F5" s="194" t="s">
        <v>97</v>
      </c>
      <c r="G5" s="194"/>
      <c r="H5" s="99">
        <f>208.71*$H$4*(208.71/($H$3/12))</f>
        <v>41267.23967368421</v>
      </c>
      <c r="I5" s="3"/>
      <c r="J5" s="45" t="s">
        <v>88</v>
      </c>
      <c r="K5" s="56">
        <f>SUM(G14:G43)</f>
        <v>413.0593603391685</v>
      </c>
      <c r="L5" s="126"/>
      <c r="M5" s="211">
        <f>+P5-0.05</f>
        <v>0.6749999999999999</v>
      </c>
      <c r="N5" s="211"/>
      <c r="O5" s="211"/>
      <c r="P5" s="211">
        <f>+F8</f>
        <v>0.725</v>
      </c>
      <c r="Q5" s="211"/>
      <c r="R5" s="211"/>
      <c r="S5" s="211">
        <f>+P5+0.05</f>
        <v>0.775</v>
      </c>
      <c r="T5" s="211"/>
      <c r="U5" s="211"/>
      <c r="V5" s="3"/>
      <c r="W5" s="3"/>
      <c r="X5" s="3"/>
      <c r="Y5" s="3"/>
      <c r="Z5" s="11"/>
      <c r="AA5" s="12"/>
      <c r="AB5" s="12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3.5" customHeight="1">
      <c r="A6" s="89"/>
      <c r="B6" s="90"/>
      <c r="C6" s="90"/>
      <c r="D6" s="90"/>
      <c r="E6" s="90"/>
      <c r="F6" s="90"/>
      <c r="G6" s="90"/>
      <c r="H6" s="100"/>
      <c r="I6" s="3"/>
      <c r="J6" s="54"/>
      <c r="K6" s="57">
        <f>SUM(H46:H51)</f>
        <v>0.5298387096774196</v>
      </c>
      <c r="L6" s="127" t="s">
        <v>96</v>
      </c>
      <c r="M6" s="128">
        <f>+P6</f>
        <v>750</v>
      </c>
      <c r="N6" s="128">
        <f>+Q6</f>
        <v>850</v>
      </c>
      <c r="O6" s="128">
        <f>+R6</f>
        <v>950</v>
      </c>
      <c r="P6" s="128">
        <f>+Q6-100</f>
        <v>750</v>
      </c>
      <c r="Q6" s="128">
        <f>+E8</f>
        <v>850</v>
      </c>
      <c r="R6" s="128">
        <f>+Q6+100</f>
        <v>950</v>
      </c>
      <c r="S6" s="128">
        <f>+P6</f>
        <v>750</v>
      </c>
      <c r="T6" s="128">
        <f>+Q6</f>
        <v>850</v>
      </c>
      <c r="U6" s="128">
        <f>+R6</f>
        <v>950</v>
      </c>
      <c r="V6" s="3"/>
      <c r="W6" s="3"/>
      <c r="X6" s="3"/>
      <c r="Y6" s="3"/>
      <c r="Z6" s="11"/>
      <c r="AA6" s="12"/>
      <c r="AB6" s="12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>
      <c r="A7" s="91"/>
      <c r="B7" s="92"/>
      <c r="C7" s="92"/>
      <c r="D7" s="93"/>
      <c r="E7" s="98" t="s">
        <v>38</v>
      </c>
      <c r="F7" s="98" t="s">
        <v>150</v>
      </c>
      <c r="G7" s="98" t="s">
        <v>39</v>
      </c>
      <c r="H7" s="101" t="s">
        <v>44</v>
      </c>
      <c r="I7" s="3"/>
      <c r="J7" s="45" t="s">
        <v>89</v>
      </c>
      <c r="K7" s="58">
        <f>+($K$5+L7)*(1+$F$44/12*$C$44)</f>
        <v>478.1087895501915</v>
      </c>
      <c r="L7" s="59">
        <v>50</v>
      </c>
      <c r="M7" s="129">
        <f>+$M$5*$M$6-K7-$M$12</f>
        <v>24.167420127227807</v>
      </c>
      <c r="N7" s="129">
        <f>+M5*N6-K7-N12</f>
        <v>91.13758141755045</v>
      </c>
      <c r="O7" s="129">
        <f>+M5*O6-K7-O12</f>
        <v>158.10774270787292</v>
      </c>
      <c r="P7" s="129">
        <f>+P5*P6-K7-P12</f>
        <v>61.667420127227864</v>
      </c>
      <c r="Q7" s="129">
        <f>+P5*Q6-K7-Q12</f>
        <v>133.63758141755045</v>
      </c>
      <c r="R7" s="129">
        <f>+P5*R6-K7-R12</f>
        <v>205.60774270787303</v>
      </c>
      <c r="S7" s="129">
        <f>+S5*S6-K7-S12</f>
        <v>99.16742012722787</v>
      </c>
      <c r="T7" s="129">
        <f>+T6*S5-K7-T12</f>
        <v>176.13758141755045</v>
      </c>
      <c r="U7" s="129">
        <f>+U6*S5-K7-U12</f>
        <v>253.10774270787303</v>
      </c>
      <c r="V7" s="3"/>
      <c r="W7" s="3"/>
      <c r="X7" s="3"/>
      <c r="Y7" s="3"/>
      <c r="Z7" s="11"/>
      <c r="AA7" s="12"/>
      <c r="AB7" s="12"/>
      <c r="AC7" s="6"/>
      <c r="AD7" s="6"/>
      <c r="AE7" s="7"/>
      <c r="AG7" s="10"/>
      <c r="AH7" s="10"/>
      <c r="AI7" s="7"/>
      <c r="AJ7" s="7"/>
      <c r="AK7" s="9"/>
      <c r="AL7" s="9"/>
    </row>
    <row r="8" spans="1:38" ht="13.5" customHeight="1">
      <c r="A8" s="83" t="s">
        <v>87</v>
      </c>
      <c r="B8" s="92"/>
      <c r="C8" s="92"/>
      <c r="D8" s="93"/>
      <c r="E8" s="71">
        <v>850</v>
      </c>
      <c r="F8" s="72">
        <v>0.725</v>
      </c>
      <c r="G8" s="104">
        <f>+E8*F8</f>
        <v>616.25</v>
      </c>
      <c r="H8" s="102">
        <f>+G8/E8*100</f>
        <v>72.5</v>
      </c>
      <c r="I8" s="3"/>
      <c r="J8" s="45" t="s">
        <v>90</v>
      </c>
      <c r="K8" s="58">
        <f>+($K$5+L8)*(1+$F$44/12*$C$44)</f>
        <v>503.9212895501915</v>
      </c>
      <c r="L8" s="59">
        <v>75</v>
      </c>
      <c r="M8" s="129">
        <f>+$M$5*$M$6-K8-$M$12</f>
        <v>-1.6450798727721927</v>
      </c>
      <c r="N8" s="129">
        <f>+N6*M5-K8-N12</f>
        <v>65.32508141755045</v>
      </c>
      <c r="O8" s="129">
        <f>+O6*M5-K8-O12</f>
        <v>132.29524270787292</v>
      </c>
      <c r="P8" s="129">
        <f>+P6*P5-K8-P12</f>
        <v>35.854920127227864</v>
      </c>
      <c r="Q8" s="129">
        <f>+Q6*P5-K8-Q12</f>
        <v>107.82508141755045</v>
      </c>
      <c r="R8" s="129">
        <f>+R6*P5-K8-R12</f>
        <v>179.79524270787303</v>
      </c>
      <c r="S8" s="129">
        <f>+S6*S5-K8-S12</f>
        <v>73.35492012722787</v>
      </c>
      <c r="T8" s="129">
        <f>+T6*S5-K8-T12</f>
        <v>150.32508141755045</v>
      </c>
      <c r="U8" s="129">
        <f>+U6*S5-K8-U12</f>
        <v>227.29524270787303</v>
      </c>
      <c r="V8" s="3"/>
      <c r="W8" s="3"/>
      <c r="X8" s="3"/>
      <c r="Y8" s="3"/>
      <c r="Z8" s="11"/>
      <c r="AA8" s="12"/>
      <c r="AB8" s="12"/>
      <c r="AC8" s="6"/>
      <c r="AD8" s="14"/>
      <c r="AE8" s="8"/>
      <c r="AF8" s="7"/>
      <c r="AG8" s="7"/>
      <c r="AH8" s="7"/>
      <c r="AI8" s="7"/>
      <c r="AJ8" s="7"/>
      <c r="AK8" s="9"/>
      <c r="AL8" s="9"/>
    </row>
    <row r="9" spans="1:38" ht="13.5" customHeight="1">
      <c r="A9" s="89"/>
      <c r="B9" s="90"/>
      <c r="C9" s="90"/>
      <c r="D9" s="90"/>
      <c r="E9" s="90"/>
      <c r="F9" s="90"/>
      <c r="G9" s="90"/>
      <c r="H9" s="100"/>
      <c r="I9" s="3"/>
      <c r="J9" s="50"/>
      <c r="K9" s="58">
        <f>+($K$5+L9)*(1+$F$44/12*$C$44)</f>
        <v>529.7337895501914</v>
      </c>
      <c r="L9" s="59">
        <v>100</v>
      </c>
      <c r="M9" s="129">
        <f>+$M$5*$M$6-K9-$M$12</f>
        <v>-27.457579872772136</v>
      </c>
      <c r="N9" s="129">
        <f>+N6*M5-K9-N12</f>
        <v>39.5125814175505</v>
      </c>
      <c r="O9" s="129">
        <f>+O6*M5-K9-O12</f>
        <v>106.48274270787297</v>
      </c>
      <c r="P9" s="129">
        <f>+P6*P5-K9-P12</f>
        <v>10.04242012722792</v>
      </c>
      <c r="Q9" s="129">
        <f>+Q6*P5-K9-Q12</f>
        <v>82.0125814175505</v>
      </c>
      <c r="R9" s="129">
        <f>+R6*P5-K9-R12</f>
        <v>153.9827427078731</v>
      </c>
      <c r="S9" s="129">
        <f>+S6*S5-K9-S12</f>
        <v>47.54242012722792</v>
      </c>
      <c r="T9" s="129">
        <f>+T6*S5-K9-T12</f>
        <v>124.5125814175505</v>
      </c>
      <c r="U9" s="129">
        <f>+U6*S5-K9-U12</f>
        <v>201.4827427078731</v>
      </c>
      <c r="V9" s="3"/>
      <c r="W9" s="3"/>
      <c r="X9" s="3"/>
      <c r="Y9" s="3"/>
      <c r="Z9" s="11"/>
      <c r="AA9" s="12"/>
      <c r="AB9" s="12"/>
      <c r="AC9" s="6"/>
      <c r="AD9" s="14"/>
      <c r="AE9" s="8"/>
      <c r="AF9" s="7"/>
      <c r="AG9" s="7"/>
      <c r="AH9" s="7"/>
      <c r="AI9" s="7"/>
      <c r="AJ9" s="7"/>
      <c r="AK9" s="9"/>
      <c r="AL9" s="9"/>
    </row>
    <row r="10" spans="1:38" ht="13.5" customHeight="1">
      <c r="A10" s="87" t="s">
        <v>94</v>
      </c>
      <c r="B10" s="94"/>
      <c r="C10" s="94"/>
      <c r="D10" s="88" t="s">
        <v>15</v>
      </c>
      <c r="E10" s="88" t="s">
        <v>16</v>
      </c>
      <c r="F10" s="88" t="s">
        <v>17</v>
      </c>
      <c r="G10" s="88" t="s">
        <v>18</v>
      </c>
      <c r="H10" s="103" t="s">
        <v>44</v>
      </c>
      <c r="I10" s="3"/>
      <c r="J10" s="50"/>
      <c r="K10" s="58">
        <f>+($K$5+L10)*(1+$F$44/12*$C$44)</f>
        <v>555.5462895501914</v>
      </c>
      <c r="L10" s="59">
        <v>125</v>
      </c>
      <c r="M10" s="129">
        <f>+$M$5*$M$6-K10-$M$12</f>
        <v>-53.270079872772136</v>
      </c>
      <c r="N10" s="129">
        <f>+N6*M5-K10-N12</f>
        <v>13.700081417550502</v>
      </c>
      <c r="O10" s="129">
        <f>+O6*M5-K10-O12</f>
        <v>80.67024270787297</v>
      </c>
      <c r="P10" s="129">
        <f>+P6*P5-K10-P12</f>
        <v>-15.77007987277208</v>
      </c>
      <c r="Q10" s="129">
        <f>+Q6*P5-K10-Q12</f>
        <v>56.2000814175505</v>
      </c>
      <c r="R10" s="129">
        <f>+R6*P5-K10-R12</f>
        <v>128.1702427078731</v>
      </c>
      <c r="S10" s="129">
        <f>+S6*S5-K10-S12</f>
        <v>21.72992012722792</v>
      </c>
      <c r="T10" s="129">
        <f>+T6*S5-K10-T12</f>
        <v>98.7000814175505</v>
      </c>
      <c r="U10" s="129">
        <f>+U6*S5-K10-U12</f>
        <v>175.6702427078731</v>
      </c>
      <c r="V10" s="3"/>
      <c r="W10" s="3"/>
      <c r="X10" s="3"/>
      <c r="Y10" s="3"/>
      <c r="Z10" s="11"/>
      <c r="AA10" s="12"/>
      <c r="AB10" s="12"/>
      <c r="AC10" s="6"/>
      <c r="AD10" s="6"/>
      <c r="AE10" s="7"/>
      <c r="AG10" s="7"/>
      <c r="AH10" s="7"/>
      <c r="AI10" s="7"/>
      <c r="AK10" s="9"/>
      <c r="AL10" s="9"/>
    </row>
    <row r="11" spans="1:38" ht="13.5" customHeight="1">
      <c r="A11" s="95" t="s">
        <v>113</v>
      </c>
      <c r="B11" s="96"/>
      <c r="C11" s="96"/>
      <c r="D11" s="86" t="s">
        <v>21</v>
      </c>
      <c r="E11" s="71">
        <v>40</v>
      </c>
      <c r="F11" s="71">
        <v>0.24</v>
      </c>
      <c r="G11" s="105">
        <f>+F11*E11</f>
        <v>9.6</v>
      </c>
      <c r="H11" s="106">
        <f>+G11/E8*100</f>
        <v>1.1294117647058823</v>
      </c>
      <c r="I11" s="3"/>
      <c r="J11" s="50"/>
      <c r="K11" s="58">
        <f>+($K$5+L11)*(1+$F$44/12*$C$44)</f>
        <v>581.3587895501914</v>
      </c>
      <c r="L11" s="59">
        <v>150</v>
      </c>
      <c r="M11" s="129">
        <f>+$M$5*$M$6-K11-$M$12</f>
        <v>-79.08257987277213</v>
      </c>
      <c r="N11" s="129">
        <f>+N6*M5-K11-N12</f>
        <v>-12.112418582449498</v>
      </c>
      <c r="O11" s="129">
        <f>+O6*M5-K11-O12</f>
        <v>54.857742707872966</v>
      </c>
      <c r="P11" s="129">
        <f>+P6*P5-K11-P12</f>
        <v>-41.58257987277208</v>
      </c>
      <c r="Q11" s="129">
        <f>+Q6*P5-K11-Q12</f>
        <v>30.3875814175505</v>
      </c>
      <c r="R11" s="129">
        <f>+R6*P5-K11-R12</f>
        <v>102.35774270787309</v>
      </c>
      <c r="S11" s="129">
        <f>+S6*S5-K11-S12</f>
        <v>-4.0825798727720795</v>
      </c>
      <c r="T11" s="129">
        <f>+T6*S5-K11-T12</f>
        <v>72.8875814175505</v>
      </c>
      <c r="U11" s="129">
        <f>+U6*S5-K11-U12</f>
        <v>149.8577427078731</v>
      </c>
      <c r="V11" s="3"/>
      <c r="W11" s="3"/>
      <c r="X11" s="3"/>
      <c r="Y11" s="3"/>
      <c r="Z11" s="11"/>
      <c r="AA11" s="12"/>
      <c r="AB11" s="12"/>
      <c r="AC11" s="6"/>
      <c r="AD11" s="6"/>
      <c r="AE11" s="7"/>
      <c r="AG11" s="7"/>
      <c r="AH11" s="7"/>
      <c r="AI11" s="7"/>
      <c r="AK11" s="9"/>
      <c r="AL11" s="9"/>
    </row>
    <row r="12" spans="1:38" ht="13.5" customHeight="1">
      <c r="A12" s="95" t="s">
        <v>114</v>
      </c>
      <c r="B12" s="96"/>
      <c r="C12" s="96"/>
      <c r="D12" s="86" t="s">
        <v>21</v>
      </c>
      <c r="E12" s="71">
        <v>30</v>
      </c>
      <c r="F12" s="71">
        <v>0.28</v>
      </c>
      <c r="G12" s="105">
        <f>+F12*E12</f>
        <v>8.4</v>
      </c>
      <c r="H12" s="106">
        <f>+G12/E8*100</f>
        <v>0.9882352941176471</v>
      </c>
      <c r="I12" s="3"/>
      <c r="J12" s="50"/>
      <c r="K12" s="78"/>
      <c r="L12" s="79"/>
      <c r="M12" s="80">
        <f aca="true" t="shared" si="0" ref="M12:U12">+$K$6/100*M6</f>
        <v>3.9737903225806472</v>
      </c>
      <c r="N12" s="80">
        <f t="shared" si="0"/>
        <v>4.5036290322580665</v>
      </c>
      <c r="O12" s="80">
        <f t="shared" si="0"/>
        <v>5.033467741935486</v>
      </c>
      <c r="P12" s="80">
        <f t="shared" si="0"/>
        <v>3.9737903225806472</v>
      </c>
      <c r="Q12" s="80">
        <f t="shared" si="0"/>
        <v>4.5036290322580665</v>
      </c>
      <c r="R12" s="80">
        <f t="shared" si="0"/>
        <v>5.033467741935486</v>
      </c>
      <c r="S12" s="80">
        <f t="shared" si="0"/>
        <v>3.9737903225806472</v>
      </c>
      <c r="T12" s="80">
        <f t="shared" si="0"/>
        <v>4.5036290322580665</v>
      </c>
      <c r="U12" s="80">
        <f t="shared" si="0"/>
        <v>5.033467741935486</v>
      </c>
      <c r="V12" s="44"/>
      <c r="W12" s="3"/>
      <c r="X12" s="3"/>
      <c r="Y12" s="3"/>
      <c r="Z12" s="11"/>
      <c r="AA12" s="12"/>
      <c r="AB12" s="12"/>
      <c r="AC12" s="6"/>
      <c r="AD12" s="6"/>
      <c r="AE12" s="7"/>
      <c r="AG12" s="7"/>
      <c r="AH12" s="7"/>
      <c r="AI12" s="7"/>
      <c r="AK12" s="9"/>
      <c r="AL12" s="9"/>
    </row>
    <row r="13" spans="1:38" ht="13.5" customHeight="1">
      <c r="A13" s="95" t="s">
        <v>0</v>
      </c>
      <c r="B13" s="96"/>
      <c r="C13" s="96"/>
      <c r="D13" s="86" t="s">
        <v>19</v>
      </c>
      <c r="E13" s="86">
        <v>1</v>
      </c>
      <c r="F13" s="82">
        <v>0</v>
      </c>
      <c r="G13" s="105">
        <f>+E13*F13</f>
        <v>0</v>
      </c>
      <c r="H13" s="106">
        <f>+G13/$E$8*100</f>
        <v>0</v>
      </c>
      <c r="I13" s="3"/>
      <c r="J13" s="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3"/>
      <c r="X13" s="4"/>
      <c r="Y13" s="4"/>
      <c r="Z13" s="4"/>
      <c r="AF13" s="7"/>
      <c r="AG13" s="7"/>
      <c r="AH13" s="7"/>
      <c r="AI13" s="7"/>
      <c r="AJ13" s="7"/>
      <c r="AK13" s="9"/>
      <c r="AL13" s="9"/>
    </row>
    <row r="14" spans="1:38" ht="13.5" customHeight="1">
      <c r="A14" s="95" t="s">
        <v>139</v>
      </c>
      <c r="B14" s="96"/>
      <c r="C14" s="96"/>
      <c r="D14" s="86" t="s">
        <v>19</v>
      </c>
      <c r="E14" s="86">
        <v>1</v>
      </c>
      <c r="F14" s="73">
        <v>15</v>
      </c>
      <c r="G14" s="105">
        <f>+E14*F14</f>
        <v>15</v>
      </c>
      <c r="H14" s="106">
        <f>+G14/$E$8*100</f>
        <v>1.7647058823529411</v>
      </c>
      <c r="I14" s="3"/>
      <c r="J14" s="3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81"/>
      <c r="W14" s="3"/>
      <c r="X14" s="3"/>
      <c r="Y14" s="3"/>
      <c r="Z14" s="11"/>
      <c r="AA14" s="12"/>
      <c r="AB14" s="12"/>
      <c r="AC14" s="6"/>
      <c r="AD14" s="6"/>
      <c r="AE14" s="7"/>
      <c r="AF14" s="7"/>
      <c r="AG14" s="7"/>
      <c r="AH14" s="7"/>
      <c r="AI14" s="7"/>
      <c r="AK14" s="9"/>
      <c r="AL14" s="9"/>
    </row>
    <row r="15" spans="1:38" ht="13.5" customHeight="1">
      <c r="A15" s="95" t="s">
        <v>138</v>
      </c>
      <c r="B15" s="96"/>
      <c r="C15" s="96"/>
      <c r="D15" s="86" t="s">
        <v>98</v>
      </c>
      <c r="E15" s="105">
        <f>+H5/1000</f>
        <v>41.267239673684216</v>
      </c>
      <c r="F15" s="73">
        <v>2.47</v>
      </c>
      <c r="G15" s="105">
        <f>+F15*E15</f>
        <v>101.93008199400002</v>
      </c>
      <c r="H15" s="106">
        <f>+G15/E8*100</f>
        <v>11.991774352235296</v>
      </c>
      <c r="I15" s="3"/>
      <c r="J15" s="3"/>
      <c r="K15" s="44"/>
      <c r="L15" s="79"/>
      <c r="M15" s="80"/>
      <c r="N15" s="80"/>
      <c r="O15" s="80"/>
      <c r="P15" s="80"/>
      <c r="Q15" s="80"/>
      <c r="R15" s="80"/>
      <c r="S15" s="80"/>
      <c r="T15" s="80"/>
      <c r="U15" s="80"/>
      <c r="V15" s="81"/>
      <c r="W15" s="3"/>
      <c r="X15" s="3"/>
      <c r="Y15" s="3"/>
      <c r="Z15" s="11"/>
      <c r="AA15" s="12"/>
      <c r="AB15" s="12"/>
      <c r="AC15" s="6"/>
      <c r="AD15" s="6"/>
      <c r="AE15" s="7"/>
      <c r="AF15" s="7"/>
      <c r="AG15" s="7"/>
      <c r="AH15" s="7"/>
      <c r="AI15" s="7"/>
      <c r="AJ15" s="9"/>
      <c r="AK15" s="9"/>
      <c r="AL15" s="9"/>
    </row>
    <row r="16" spans="1:38" ht="13.5" customHeight="1">
      <c r="A16" s="95" t="s">
        <v>43</v>
      </c>
      <c r="B16" s="96"/>
      <c r="C16" s="96"/>
      <c r="D16" s="86" t="s">
        <v>20</v>
      </c>
      <c r="E16" s="71">
        <v>0.33</v>
      </c>
      <c r="F16" s="73">
        <v>42</v>
      </c>
      <c r="G16" s="105">
        <f>+E16*F16</f>
        <v>13.860000000000001</v>
      </c>
      <c r="H16" s="106">
        <f>+G16/$E$8*100</f>
        <v>1.6305882352941177</v>
      </c>
      <c r="I16" s="3"/>
      <c r="J16" s="3"/>
      <c r="K16" s="3"/>
      <c r="L16" s="27"/>
      <c r="M16" s="26"/>
      <c r="N16" s="26"/>
      <c r="O16" s="26"/>
      <c r="P16" s="26"/>
      <c r="Q16" s="26"/>
      <c r="R16" s="26"/>
      <c r="S16" s="26"/>
      <c r="T16" s="26"/>
      <c r="U16" s="26"/>
      <c r="V16" s="25"/>
      <c r="W16" s="3"/>
      <c r="X16" s="3"/>
      <c r="Y16" s="3"/>
      <c r="Z16" s="11"/>
      <c r="AA16" s="12"/>
      <c r="AB16" s="12"/>
      <c r="AC16" s="6"/>
      <c r="AD16" s="6"/>
      <c r="AE16" s="7"/>
      <c r="AF16" s="7"/>
      <c r="AG16" s="7"/>
      <c r="AH16" s="7"/>
      <c r="AI16" s="7"/>
      <c r="AJ16" s="9"/>
      <c r="AK16" s="9"/>
      <c r="AL16" s="9"/>
    </row>
    <row r="17" spans="1:38" ht="13.5" customHeight="1">
      <c r="A17" s="95" t="s">
        <v>46</v>
      </c>
      <c r="B17" s="96"/>
      <c r="C17" s="96"/>
      <c r="D17" s="86"/>
      <c r="E17" s="86"/>
      <c r="F17" s="105"/>
      <c r="G17" s="105"/>
      <c r="H17" s="106"/>
      <c r="I17" s="3"/>
      <c r="J17" s="130" t="s">
        <v>51</v>
      </c>
      <c r="K17" s="131"/>
      <c r="L17" s="59">
        <v>500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40"/>
      <c r="X17" s="3"/>
      <c r="Y17" s="3"/>
      <c r="Z17" s="11"/>
      <c r="AA17" s="31"/>
      <c r="AB17" s="32"/>
      <c r="AC17" s="32"/>
      <c r="AD17" s="32"/>
      <c r="AE17" s="29"/>
      <c r="AF17" s="29"/>
      <c r="AG17" s="29"/>
      <c r="AH17" s="7"/>
      <c r="AI17" s="7"/>
      <c r="AJ17" s="9"/>
      <c r="AK17" s="9"/>
      <c r="AL17" s="9"/>
    </row>
    <row r="18" spans="1:38" ht="13.5" customHeight="1">
      <c r="A18" s="95" t="s">
        <v>1</v>
      </c>
      <c r="B18" s="96"/>
      <c r="C18" s="96"/>
      <c r="D18" s="86" t="s">
        <v>21</v>
      </c>
      <c r="E18" s="71">
        <v>90</v>
      </c>
      <c r="F18" s="73">
        <v>0.42</v>
      </c>
      <c r="G18" s="105">
        <f>+E18*F18</f>
        <v>37.8</v>
      </c>
      <c r="H18" s="106">
        <f>+G18/$E$8*100</f>
        <v>4.447058823529412</v>
      </c>
      <c r="I18" s="3"/>
      <c r="J18" s="132"/>
      <c r="K18" s="133"/>
      <c r="L18" s="137"/>
      <c r="M18" s="223" t="s">
        <v>52</v>
      </c>
      <c r="N18" s="224"/>
      <c r="O18" s="224"/>
      <c r="P18" s="225"/>
      <c r="Q18" s="223" t="s">
        <v>76</v>
      </c>
      <c r="R18" s="224"/>
      <c r="S18" s="224"/>
      <c r="T18" s="225"/>
      <c r="U18" s="223" t="s">
        <v>53</v>
      </c>
      <c r="V18" s="224"/>
      <c r="W18" s="225"/>
      <c r="X18" s="3"/>
      <c r="Y18" s="3"/>
      <c r="Z18" s="11"/>
      <c r="AA18" s="33"/>
      <c r="AB18" s="33"/>
      <c r="AC18" s="33"/>
      <c r="AD18" s="33"/>
      <c r="AE18" s="30"/>
      <c r="AF18" s="9"/>
      <c r="AG18" s="30"/>
      <c r="AH18" s="7"/>
      <c r="AI18" s="7"/>
      <c r="AJ18" s="9"/>
      <c r="AK18" s="9"/>
      <c r="AL18" s="9"/>
    </row>
    <row r="19" spans="1:38" ht="13.5" customHeight="1">
      <c r="A19" s="95" t="s">
        <v>2</v>
      </c>
      <c r="B19" s="96"/>
      <c r="C19" s="96"/>
      <c r="D19" s="86" t="s">
        <v>21</v>
      </c>
      <c r="E19" s="71">
        <v>60</v>
      </c>
      <c r="F19" s="73">
        <v>0.39</v>
      </c>
      <c r="G19" s="105">
        <f>+E19*F19</f>
        <v>23.400000000000002</v>
      </c>
      <c r="H19" s="106">
        <f>+G19/$E$8*100</f>
        <v>2.7529411764705887</v>
      </c>
      <c r="I19" s="3"/>
      <c r="J19" s="134"/>
      <c r="K19" s="135"/>
      <c r="L19" s="138" t="s">
        <v>54</v>
      </c>
      <c r="M19" s="141" t="s">
        <v>55</v>
      </c>
      <c r="N19" s="141" t="s">
        <v>56</v>
      </c>
      <c r="O19" s="141" t="s">
        <v>57</v>
      </c>
      <c r="P19" s="141" t="s">
        <v>58</v>
      </c>
      <c r="Q19" s="141" t="s">
        <v>59</v>
      </c>
      <c r="R19" s="141" t="s">
        <v>57</v>
      </c>
      <c r="S19" s="141" t="s">
        <v>60</v>
      </c>
      <c r="T19" s="141" t="s">
        <v>61</v>
      </c>
      <c r="U19" s="141" t="s">
        <v>62</v>
      </c>
      <c r="V19" s="141" t="s">
        <v>85</v>
      </c>
      <c r="W19" s="141" t="s">
        <v>45</v>
      </c>
      <c r="X19" s="11"/>
      <c r="Y19" s="11"/>
      <c r="Z19" s="11"/>
      <c r="AA19" s="34"/>
      <c r="AB19" s="33"/>
      <c r="AC19" s="33"/>
      <c r="AD19" s="33"/>
      <c r="AE19" s="30"/>
      <c r="AF19" s="9"/>
      <c r="AG19" s="30"/>
      <c r="AH19" s="7"/>
      <c r="AI19" s="7"/>
      <c r="AJ19" s="9"/>
      <c r="AK19" s="9"/>
      <c r="AL19" s="9"/>
    </row>
    <row r="20" spans="1:38" ht="13.5" customHeight="1">
      <c r="A20" s="95" t="s">
        <v>3</v>
      </c>
      <c r="B20" s="96"/>
      <c r="C20" s="96"/>
      <c r="D20" s="86" t="s">
        <v>21</v>
      </c>
      <c r="E20" s="71">
        <v>90</v>
      </c>
      <c r="F20" s="73">
        <v>0.28</v>
      </c>
      <c r="G20" s="105">
        <f>+E20*F20</f>
        <v>25.200000000000003</v>
      </c>
      <c r="H20" s="106">
        <f>+G20/$E$8*100</f>
        <v>2.9647058823529413</v>
      </c>
      <c r="I20" s="3"/>
      <c r="J20" s="136" t="s">
        <v>63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42"/>
      <c r="X20" s="11"/>
      <c r="Y20" s="11"/>
      <c r="Z20" s="11"/>
      <c r="AA20" s="33"/>
      <c r="AB20" s="33"/>
      <c r="AC20" s="33"/>
      <c r="AD20" s="33"/>
      <c r="AE20" s="30"/>
      <c r="AF20" s="9"/>
      <c r="AG20" s="30"/>
      <c r="AH20" s="7"/>
      <c r="AI20" s="7"/>
      <c r="AJ20" s="9"/>
      <c r="AK20" s="9"/>
      <c r="AL20" s="9"/>
    </row>
    <row r="21" spans="1:38" ht="13.5" customHeight="1">
      <c r="A21" s="95" t="s">
        <v>79</v>
      </c>
      <c r="B21" s="96"/>
      <c r="C21" s="96"/>
      <c r="D21" s="86" t="s">
        <v>50</v>
      </c>
      <c r="E21" s="71">
        <v>0</v>
      </c>
      <c r="F21" s="73">
        <v>44</v>
      </c>
      <c r="G21" s="105">
        <f>+E21*F21</f>
        <v>0</v>
      </c>
      <c r="H21" s="106">
        <f>+G21/$E$8*100</f>
        <v>0</v>
      </c>
      <c r="I21" s="3"/>
      <c r="J21" s="219" t="s">
        <v>118</v>
      </c>
      <c r="K21" s="219"/>
      <c r="L21" s="60">
        <v>196000</v>
      </c>
      <c r="M21" s="61">
        <v>11.5</v>
      </c>
      <c r="N21" s="143">
        <f>+L21*M21/100</f>
        <v>22540</v>
      </c>
      <c r="O21" s="60">
        <v>300</v>
      </c>
      <c r="P21" s="145">
        <f>IF(O21=0," ",+N21/O21)</f>
        <v>75.13333333333334</v>
      </c>
      <c r="Q21" s="60">
        <v>50</v>
      </c>
      <c r="R21" s="144">
        <f>+O21*Q21/100</f>
        <v>150</v>
      </c>
      <c r="S21" s="146">
        <f>IF(R21=0," ",+R21/L17)</f>
        <v>0.3</v>
      </c>
      <c r="T21" s="145">
        <f>+N21*Q21/100/L17</f>
        <v>22.54</v>
      </c>
      <c r="U21" s="60">
        <v>4500</v>
      </c>
      <c r="V21" s="143">
        <f>+U21*Q21/100</f>
        <v>2250</v>
      </c>
      <c r="W21" s="145">
        <f>+V21/L17</f>
        <v>4.5</v>
      </c>
      <c r="X21" s="11"/>
      <c r="Y21" s="11"/>
      <c r="Z21" s="19"/>
      <c r="AA21" s="33"/>
      <c r="AB21" s="35"/>
      <c r="AC21" s="33"/>
      <c r="AD21" s="33"/>
      <c r="AE21" s="30"/>
      <c r="AF21" s="9"/>
      <c r="AG21" s="30"/>
      <c r="AH21" s="7"/>
      <c r="AI21" s="7"/>
      <c r="AJ21" s="9"/>
      <c r="AK21" s="9"/>
      <c r="AL21" s="9"/>
    </row>
    <row r="22" spans="1:38" ht="13.5" customHeight="1">
      <c r="A22" s="95" t="s">
        <v>109</v>
      </c>
      <c r="B22" s="96"/>
      <c r="C22" s="96"/>
      <c r="D22" s="86" t="s">
        <v>19</v>
      </c>
      <c r="E22" s="86">
        <v>1</v>
      </c>
      <c r="F22" s="73">
        <v>4.5</v>
      </c>
      <c r="G22" s="105">
        <f>+E22*F22</f>
        <v>4.5</v>
      </c>
      <c r="H22" s="106">
        <f>+G22/$E$8*100</f>
        <v>0.5294117647058824</v>
      </c>
      <c r="I22" s="3"/>
      <c r="J22" s="219" t="s">
        <v>119</v>
      </c>
      <c r="K22" s="219"/>
      <c r="L22" s="60">
        <v>143000</v>
      </c>
      <c r="M22" s="61">
        <v>11.5</v>
      </c>
      <c r="N22" s="144">
        <f>+L22*M22/100</f>
        <v>16445</v>
      </c>
      <c r="O22" s="60">
        <v>300</v>
      </c>
      <c r="P22" s="145">
        <f>IF(O22=0," ",+N22/O22)</f>
        <v>54.81666666666667</v>
      </c>
      <c r="Q22" s="60">
        <v>60</v>
      </c>
      <c r="R22" s="144">
        <f>+O22*Q22/100</f>
        <v>180</v>
      </c>
      <c r="S22" s="146">
        <f>IF(R22=0," ",+R22/L17)</f>
        <v>0.36</v>
      </c>
      <c r="T22" s="145">
        <f>+N22*Q22/100/L17</f>
        <v>19.734</v>
      </c>
      <c r="U22" s="60">
        <v>3300</v>
      </c>
      <c r="V22" s="143">
        <f>+U22*Q22/100</f>
        <v>1980</v>
      </c>
      <c r="W22" s="145">
        <f>+V22/L17</f>
        <v>3.96</v>
      </c>
      <c r="X22" s="11"/>
      <c r="Y22" s="11"/>
      <c r="Z22" s="20"/>
      <c r="AA22" s="34"/>
      <c r="AB22" s="33"/>
      <c r="AC22" s="33"/>
      <c r="AD22" s="33"/>
      <c r="AE22" s="30"/>
      <c r="AF22" s="9"/>
      <c r="AG22" s="30"/>
      <c r="AH22" s="7"/>
      <c r="AI22" s="7"/>
      <c r="AJ22" s="9"/>
      <c r="AK22" s="9"/>
      <c r="AL22" s="9"/>
    </row>
    <row r="23" spans="1:38" ht="13.5" customHeight="1">
      <c r="A23" s="95" t="s">
        <v>93</v>
      </c>
      <c r="B23" s="96"/>
      <c r="C23" s="96"/>
      <c r="D23" s="86"/>
      <c r="E23" s="86"/>
      <c r="F23" s="105"/>
      <c r="G23" s="105"/>
      <c r="H23" s="106"/>
      <c r="I23" s="3"/>
      <c r="J23" s="219" t="s">
        <v>120</v>
      </c>
      <c r="K23" s="219"/>
      <c r="L23" s="60">
        <v>123000</v>
      </c>
      <c r="M23" s="61">
        <v>11.5</v>
      </c>
      <c r="N23" s="143">
        <f>+L23*M23/100</f>
        <v>14145</v>
      </c>
      <c r="O23" s="60">
        <v>400</v>
      </c>
      <c r="P23" s="145">
        <f>IF(O23=0," ",+N23/O23)</f>
        <v>35.3625</v>
      </c>
      <c r="Q23" s="60">
        <v>60</v>
      </c>
      <c r="R23" s="144">
        <f>+O23*Q23/100</f>
        <v>240</v>
      </c>
      <c r="S23" s="146">
        <f>IF(R23=0," ",+R23/L17)</f>
        <v>0.48</v>
      </c>
      <c r="T23" s="145">
        <f>IF(N23=0," ",+N23*Q23/100/L17)</f>
        <v>16.974</v>
      </c>
      <c r="U23" s="60">
        <v>2900</v>
      </c>
      <c r="V23" s="143">
        <f>+U23*Q23/100</f>
        <v>1740</v>
      </c>
      <c r="W23" s="145">
        <f>+V23/L17</f>
        <v>3.48</v>
      </c>
      <c r="X23" s="11"/>
      <c r="Y23" s="11"/>
      <c r="Z23" s="42"/>
      <c r="AA23" s="33"/>
      <c r="AB23" s="35"/>
      <c r="AC23" s="33"/>
      <c r="AD23" s="33"/>
      <c r="AE23" s="30"/>
      <c r="AF23" s="9"/>
      <c r="AG23" s="30"/>
      <c r="AH23" s="7"/>
      <c r="AI23" s="7"/>
      <c r="AJ23" s="9"/>
      <c r="AK23" s="9"/>
      <c r="AL23" s="9"/>
    </row>
    <row r="24" spans="1:38" ht="13.5" customHeight="1">
      <c r="A24" s="95" t="s">
        <v>110</v>
      </c>
      <c r="B24" s="96"/>
      <c r="C24" s="96"/>
      <c r="D24" s="86" t="s">
        <v>19</v>
      </c>
      <c r="E24" s="86">
        <v>1</v>
      </c>
      <c r="F24" s="73">
        <v>8.13</v>
      </c>
      <c r="G24" s="124">
        <f>+E24*F24</f>
        <v>8.13</v>
      </c>
      <c r="H24" s="106">
        <f>+G24/$E$8*100</f>
        <v>0.9564705882352942</v>
      </c>
      <c r="I24" s="3"/>
      <c r="J24" s="147"/>
      <c r="K24" s="139"/>
      <c r="L24" s="139"/>
      <c r="M24" s="139"/>
      <c r="N24" s="139"/>
      <c r="O24" s="139"/>
      <c r="P24" s="139"/>
      <c r="Q24" s="139"/>
      <c r="R24" s="139"/>
      <c r="S24" s="148"/>
      <c r="T24" s="139"/>
      <c r="U24" s="139"/>
      <c r="V24" s="149"/>
      <c r="W24" s="150"/>
      <c r="X24" s="11"/>
      <c r="Y24" s="11"/>
      <c r="Z24" s="44"/>
      <c r="AA24" s="15"/>
      <c r="AB24" s="15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3.5" customHeight="1">
      <c r="A25" s="95" t="s">
        <v>99</v>
      </c>
      <c r="B25" s="90"/>
      <c r="C25" s="90"/>
      <c r="D25" s="86" t="s">
        <v>19</v>
      </c>
      <c r="E25" s="123">
        <v>1</v>
      </c>
      <c r="F25" s="73">
        <v>0</v>
      </c>
      <c r="G25" s="124">
        <f>+E25*F25</f>
        <v>0</v>
      </c>
      <c r="H25" s="125">
        <f>+G25/$E$8*100</f>
        <v>0</v>
      </c>
      <c r="I25" s="3"/>
      <c r="J25" s="128" t="s">
        <v>64</v>
      </c>
      <c r="K25" s="144"/>
      <c r="L25" s="60">
        <v>195000</v>
      </c>
      <c r="M25" s="61">
        <v>12.25</v>
      </c>
      <c r="N25" s="143">
        <f>+L25*M25/100</f>
        <v>23887.5</v>
      </c>
      <c r="O25" s="60">
        <v>200</v>
      </c>
      <c r="P25" s="145">
        <f>IF(O25=0," ",+N25/O25)</f>
        <v>119.4375</v>
      </c>
      <c r="Q25" s="60">
        <v>65</v>
      </c>
      <c r="R25" s="143">
        <f>+O25*Q25/100</f>
        <v>130</v>
      </c>
      <c r="S25" s="146">
        <f>IF(R25=0," ",+R25/L17)</f>
        <v>0.26</v>
      </c>
      <c r="T25" s="145">
        <f>+N25*Q25/100/L17</f>
        <v>31.05375</v>
      </c>
      <c r="U25" s="60">
        <v>4900</v>
      </c>
      <c r="V25" s="143">
        <f>+U25*Q25/100</f>
        <v>3185</v>
      </c>
      <c r="W25" s="145">
        <f>+V25/L17</f>
        <v>6.37</v>
      </c>
      <c r="X25" s="11"/>
      <c r="Y25" s="41"/>
      <c r="Z25" s="44"/>
      <c r="AB25" s="15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3.5" customHeight="1">
      <c r="A26" s="95" t="s">
        <v>100</v>
      </c>
      <c r="B26" s="96"/>
      <c r="C26" s="96"/>
      <c r="D26" s="86" t="s">
        <v>19</v>
      </c>
      <c r="E26" s="86">
        <v>1</v>
      </c>
      <c r="F26" s="73">
        <v>22.62</v>
      </c>
      <c r="G26" s="105">
        <f>+F26*E26</f>
        <v>22.62</v>
      </c>
      <c r="H26" s="106">
        <f>+G26/$E$8*100</f>
        <v>2.6611764705882357</v>
      </c>
      <c r="I26" s="3"/>
      <c r="J26" s="147"/>
      <c r="K26" s="139"/>
      <c r="L26" s="139"/>
      <c r="M26" s="139"/>
      <c r="N26" s="139"/>
      <c r="O26" s="139"/>
      <c r="P26" s="139"/>
      <c r="Q26" s="139"/>
      <c r="R26" s="139"/>
      <c r="S26" s="148"/>
      <c r="T26" s="139"/>
      <c r="U26" s="139"/>
      <c r="V26" s="149"/>
      <c r="W26" s="150"/>
      <c r="X26" s="11"/>
      <c r="Y26" s="44"/>
      <c r="Z26" s="21"/>
      <c r="AA26" s="15"/>
      <c r="AB26" s="15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3.5" customHeight="1">
      <c r="A27" s="95" t="s">
        <v>101</v>
      </c>
      <c r="B27" s="96"/>
      <c r="C27" s="96"/>
      <c r="D27" s="86" t="s">
        <v>19</v>
      </c>
      <c r="E27" s="86">
        <v>1</v>
      </c>
      <c r="F27" s="73">
        <v>6.25</v>
      </c>
      <c r="G27" s="105">
        <f>+E27*F27</f>
        <v>6.25</v>
      </c>
      <c r="H27" s="106">
        <f>+G27/$E$8*100</f>
        <v>0.7352941176470588</v>
      </c>
      <c r="I27" s="3"/>
      <c r="J27" s="130" t="s">
        <v>65</v>
      </c>
      <c r="K27" s="140"/>
      <c r="L27" s="60">
        <v>310000</v>
      </c>
      <c r="M27" s="61">
        <v>13.5</v>
      </c>
      <c r="N27" s="143">
        <f>+L27*M27/100</f>
        <v>41850</v>
      </c>
      <c r="O27" s="60">
        <v>125</v>
      </c>
      <c r="P27" s="145">
        <f>IF(O27=0," ",+N27/O27)</f>
        <v>334.8</v>
      </c>
      <c r="Q27" s="60">
        <v>100</v>
      </c>
      <c r="R27" s="144">
        <f>+O27*Q27/100</f>
        <v>125</v>
      </c>
      <c r="S27" s="146">
        <f>IF(R27=0," ",+R27/L17)</f>
        <v>0.25</v>
      </c>
      <c r="T27" s="145">
        <f>+N27*Q27/100/L17</f>
        <v>83.7</v>
      </c>
      <c r="U27" s="60">
        <v>8600</v>
      </c>
      <c r="V27" s="143">
        <f>+U27*Q27/100</f>
        <v>8600</v>
      </c>
      <c r="W27" s="145">
        <f>+V27/L17</f>
        <v>17.2</v>
      </c>
      <c r="X27" s="11"/>
      <c r="Y27" s="44"/>
      <c r="Z27" s="21"/>
      <c r="AA27" s="15"/>
      <c r="AB27" s="15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3.5" customHeight="1">
      <c r="A28" s="95" t="s">
        <v>83</v>
      </c>
      <c r="B28" s="96"/>
      <c r="C28" s="96"/>
      <c r="D28" s="86" t="s">
        <v>19</v>
      </c>
      <c r="E28" s="86">
        <v>1</v>
      </c>
      <c r="F28" s="73">
        <v>0</v>
      </c>
      <c r="G28" s="105">
        <f>+E28*F28</f>
        <v>0</v>
      </c>
      <c r="H28" s="106">
        <f>+G28/$E$8*100</f>
        <v>0</v>
      </c>
      <c r="I28" s="3"/>
      <c r="J28" s="134"/>
      <c r="K28" s="135"/>
      <c r="L28" s="135"/>
      <c r="M28" s="151"/>
      <c r="N28" s="135"/>
      <c r="O28" s="135"/>
      <c r="P28" s="152"/>
      <c r="Q28" s="135"/>
      <c r="R28" s="135"/>
      <c r="S28" s="152"/>
      <c r="T28" s="152"/>
      <c r="U28" s="135"/>
      <c r="V28" s="135"/>
      <c r="W28" s="153"/>
      <c r="X28" s="11"/>
      <c r="Y28" s="11"/>
      <c r="Z28" s="21"/>
      <c r="AA28" s="15"/>
      <c r="AB28" s="15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3.5" customHeight="1">
      <c r="A29" s="95" t="s">
        <v>82</v>
      </c>
      <c r="B29" s="96"/>
      <c r="C29" s="96"/>
      <c r="D29" s="96"/>
      <c r="E29" s="96"/>
      <c r="F29" s="96"/>
      <c r="G29" s="86"/>
      <c r="H29" s="106"/>
      <c r="I29" s="3"/>
      <c r="J29" s="130" t="s">
        <v>66</v>
      </c>
      <c r="K29" s="131"/>
      <c r="L29" s="131"/>
      <c r="M29" s="154"/>
      <c r="N29" s="155">
        <f>SUM(N20:N28)</f>
        <v>118867.5</v>
      </c>
      <c r="O29" s="131"/>
      <c r="P29" s="156"/>
      <c r="Q29" s="155">
        <f>+Q21/100*N21+Q22/100*N22+Q23/100*N23+Q25/100*N25+Q27/100*N27</f>
        <v>87000.875</v>
      </c>
      <c r="R29" s="131"/>
      <c r="S29" s="156"/>
      <c r="T29" s="156">
        <f>SUM(T21:T28)</f>
        <v>174.00175000000002</v>
      </c>
      <c r="U29" s="155">
        <f>SUM(U21:U28)</f>
        <v>24200</v>
      </c>
      <c r="V29" s="155">
        <f>SUM(V21:V28)</f>
        <v>17755</v>
      </c>
      <c r="W29" s="157">
        <f>SUM(W21:W28)</f>
        <v>35.510000000000005</v>
      </c>
      <c r="X29" s="11"/>
      <c r="Y29" s="11"/>
      <c r="Z29" s="21"/>
      <c r="AA29" s="15"/>
      <c r="AB29" s="15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3.5" customHeight="1">
      <c r="A30" s="95" t="s">
        <v>84</v>
      </c>
      <c r="B30" s="96"/>
      <c r="C30" s="96"/>
      <c r="D30" s="86" t="s">
        <v>19</v>
      </c>
      <c r="E30" s="86">
        <v>1</v>
      </c>
      <c r="F30" s="73">
        <v>0</v>
      </c>
      <c r="G30" s="105">
        <f>+F30</f>
        <v>0</v>
      </c>
      <c r="H30" s="106">
        <f aca="true" t="shared" si="1" ref="H30:H37">+G30/$E$8*100</f>
        <v>0</v>
      </c>
      <c r="I30" s="3"/>
      <c r="J30" s="3"/>
      <c r="K30" s="3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11"/>
      <c r="Y30" s="11"/>
      <c r="Z30" s="21"/>
      <c r="AA30" s="15"/>
      <c r="AB30" s="15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3.5" customHeight="1">
      <c r="A31" s="95" t="s">
        <v>115</v>
      </c>
      <c r="B31" s="96"/>
      <c r="C31" s="96"/>
      <c r="D31" s="86" t="s">
        <v>19</v>
      </c>
      <c r="E31" s="86">
        <v>1</v>
      </c>
      <c r="F31" s="73">
        <v>0.98</v>
      </c>
      <c r="G31" s="105">
        <f aca="true" t="shared" si="2" ref="G31:G37">+E31*F31</f>
        <v>0.98</v>
      </c>
      <c r="H31" s="106">
        <f t="shared" si="1"/>
        <v>0.11529411764705881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1"/>
      <c r="Y31" s="11"/>
      <c r="Z31" s="21"/>
      <c r="AA31" s="15"/>
      <c r="AB31" s="15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3.5" customHeight="1">
      <c r="A32" s="95" t="s">
        <v>116</v>
      </c>
      <c r="B32" s="96"/>
      <c r="C32" s="96"/>
      <c r="D32" s="86" t="s">
        <v>95</v>
      </c>
      <c r="E32" s="71">
        <v>1</v>
      </c>
      <c r="F32" s="73">
        <v>2.95</v>
      </c>
      <c r="G32" s="105">
        <f t="shared" si="2"/>
        <v>2.95</v>
      </c>
      <c r="H32" s="106">
        <f t="shared" si="1"/>
        <v>0.34705882352941175</v>
      </c>
      <c r="I32" s="3"/>
      <c r="J32" s="158" t="s">
        <v>67</v>
      </c>
      <c r="K32" s="159"/>
      <c r="L32" s="62">
        <v>1.9</v>
      </c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6"/>
      <c r="Z32" s="21"/>
      <c r="AA32" s="15"/>
      <c r="AB32" s="15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3.5" customHeight="1">
      <c r="A33" s="95" t="s">
        <v>117</v>
      </c>
      <c r="B33" s="96"/>
      <c r="C33" s="96"/>
      <c r="D33" s="86" t="s">
        <v>95</v>
      </c>
      <c r="E33" s="71">
        <v>3</v>
      </c>
      <c r="F33" s="73">
        <v>4</v>
      </c>
      <c r="G33" s="105">
        <f t="shared" si="2"/>
        <v>12</v>
      </c>
      <c r="H33" s="106">
        <f t="shared" si="1"/>
        <v>1.411764705882353</v>
      </c>
      <c r="I33" s="3"/>
      <c r="J33" s="132"/>
      <c r="K33" s="160"/>
      <c r="L33" s="163" t="s">
        <v>80</v>
      </c>
      <c r="M33" s="160"/>
      <c r="N33" s="167"/>
      <c r="O33" s="201" t="s">
        <v>52</v>
      </c>
      <c r="P33" s="202"/>
      <c r="Q33" s="203"/>
      <c r="R33" s="201" t="s">
        <v>68</v>
      </c>
      <c r="S33" s="203"/>
      <c r="T33" s="201" t="s">
        <v>53</v>
      </c>
      <c r="U33" s="202"/>
      <c r="V33" s="203"/>
      <c r="W33" s="201" t="s">
        <v>69</v>
      </c>
      <c r="X33" s="202"/>
      <c r="Y33" s="203"/>
      <c r="Z33" s="21"/>
      <c r="AA33" s="15"/>
      <c r="AB33" s="15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3.5" customHeight="1">
      <c r="A34" s="95" t="s">
        <v>102</v>
      </c>
      <c r="B34" s="96"/>
      <c r="C34" s="96"/>
      <c r="D34" s="86" t="s">
        <v>19</v>
      </c>
      <c r="E34" s="86">
        <v>1</v>
      </c>
      <c r="F34" s="73">
        <v>0</v>
      </c>
      <c r="G34" s="105">
        <f t="shared" si="2"/>
        <v>0</v>
      </c>
      <c r="H34" s="106">
        <f t="shared" si="1"/>
        <v>0</v>
      </c>
      <c r="I34" s="3"/>
      <c r="J34" s="161" t="s">
        <v>70</v>
      </c>
      <c r="K34" s="162"/>
      <c r="L34" s="164" t="s">
        <v>81</v>
      </c>
      <c r="M34" s="164" t="s">
        <v>71</v>
      </c>
      <c r="N34" s="164" t="s">
        <v>72</v>
      </c>
      <c r="O34" s="168" t="s">
        <v>54</v>
      </c>
      <c r="P34" s="168" t="s">
        <v>55</v>
      </c>
      <c r="Q34" s="168" t="s">
        <v>56</v>
      </c>
      <c r="R34" s="168" t="s">
        <v>59</v>
      </c>
      <c r="S34" s="168" t="s">
        <v>61</v>
      </c>
      <c r="T34" s="168" t="s">
        <v>62</v>
      </c>
      <c r="U34" s="168" t="s">
        <v>85</v>
      </c>
      <c r="V34" s="168" t="s">
        <v>45</v>
      </c>
      <c r="W34" s="168" t="s">
        <v>60</v>
      </c>
      <c r="X34" s="168" t="s">
        <v>73</v>
      </c>
      <c r="Y34" s="168" t="s">
        <v>74</v>
      </c>
      <c r="Z34" s="21"/>
      <c r="AA34" s="15"/>
      <c r="AB34" s="15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3.5" customHeight="1">
      <c r="A35" s="95" t="s">
        <v>103</v>
      </c>
      <c r="B35" s="96"/>
      <c r="C35" s="96"/>
      <c r="D35" s="86" t="s">
        <v>19</v>
      </c>
      <c r="E35" s="86">
        <v>1</v>
      </c>
      <c r="F35" s="73">
        <v>0</v>
      </c>
      <c r="G35" s="105">
        <f t="shared" si="2"/>
        <v>0</v>
      </c>
      <c r="H35" s="106">
        <f t="shared" si="1"/>
        <v>0</v>
      </c>
      <c r="I35" s="3"/>
      <c r="J35" s="200" t="s">
        <v>147</v>
      </c>
      <c r="K35" s="200"/>
      <c r="L35" s="63"/>
      <c r="M35" s="63"/>
      <c r="N35" s="64"/>
      <c r="O35" s="63"/>
      <c r="P35" s="65"/>
      <c r="Q35" s="169">
        <f aca="true" t="shared" si="3" ref="Q35:Q50">+O35*P35/100</f>
        <v>0</v>
      </c>
      <c r="R35" s="68"/>
      <c r="S35" s="172">
        <f>+Q35*R35/100/L17</f>
        <v>0</v>
      </c>
      <c r="T35" s="63"/>
      <c r="U35" s="174">
        <f aca="true" t="shared" si="4" ref="U35:U44">+T35*R35/100</f>
        <v>0</v>
      </c>
      <c r="V35" s="172">
        <f>+U35/L17</f>
        <v>0</v>
      </c>
      <c r="W35" s="175" t="str">
        <f aca="true" t="shared" si="5" ref="W35:W50">IF(N35=0," ",1/N35)</f>
        <v> </v>
      </c>
      <c r="X35" s="172">
        <f aca="true" t="shared" si="6" ref="X35:X50">+M35*0.044</f>
        <v>0</v>
      </c>
      <c r="Y35" s="172" t="str">
        <f>IF(W35=" "," ",+X35*W35*1.15*L32)</f>
        <v> </v>
      </c>
      <c r="Z35" s="21"/>
      <c r="AA35" s="15"/>
      <c r="AB35" s="15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3.5" customHeight="1">
      <c r="A36" s="95" t="s">
        <v>4</v>
      </c>
      <c r="B36" s="96"/>
      <c r="C36" s="96"/>
      <c r="D36" s="86" t="s">
        <v>40</v>
      </c>
      <c r="E36" s="71">
        <v>45</v>
      </c>
      <c r="F36" s="72">
        <v>0.0703125</v>
      </c>
      <c r="G36" s="105">
        <f t="shared" si="2"/>
        <v>3.1640625</v>
      </c>
      <c r="H36" s="106">
        <f t="shared" si="1"/>
        <v>0.3722426470588235</v>
      </c>
      <c r="I36" s="3"/>
      <c r="J36" s="198" t="s">
        <v>121</v>
      </c>
      <c r="K36" s="199"/>
      <c r="L36" s="63">
        <v>500</v>
      </c>
      <c r="M36" s="63">
        <v>200</v>
      </c>
      <c r="N36" s="64">
        <v>4.5</v>
      </c>
      <c r="O36" s="63">
        <v>19000</v>
      </c>
      <c r="P36" s="65">
        <v>12.25</v>
      </c>
      <c r="Q36" s="169">
        <f t="shared" si="3"/>
        <v>2327.5</v>
      </c>
      <c r="R36" s="68">
        <v>100</v>
      </c>
      <c r="S36" s="172">
        <f>+Q36*R36/100/L17</f>
        <v>4.655</v>
      </c>
      <c r="T36" s="63">
        <v>500</v>
      </c>
      <c r="U36" s="174">
        <f t="shared" si="4"/>
        <v>500</v>
      </c>
      <c r="V36" s="172">
        <f>+U36/L17</f>
        <v>1</v>
      </c>
      <c r="W36" s="175">
        <f t="shared" si="5"/>
        <v>0.2222222222222222</v>
      </c>
      <c r="X36" s="172">
        <f t="shared" si="6"/>
        <v>8.799999999999999</v>
      </c>
      <c r="Y36" s="172">
        <f>IF(W36=" "," ",+X36*W36*1.15*L32)</f>
        <v>4.272888888888888</v>
      </c>
      <c r="Z36" s="21"/>
      <c r="AA36" s="15"/>
      <c r="AB36" s="15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3.5" customHeight="1">
      <c r="A37" s="95" t="s">
        <v>91</v>
      </c>
      <c r="B37" s="96"/>
      <c r="C37" s="96"/>
      <c r="D37" s="86" t="s">
        <v>19</v>
      </c>
      <c r="E37" s="86">
        <v>1</v>
      </c>
      <c r="F37" s="73">
        <v>17</v>
      </c>
      <c r="G37" s="105">
        <f t="shared" si="2"/>
        <v>17</v>
      </c>
      <c r="H37" s="106">
        <f t="shared" si="1"/>
        <v>2</v>
      </c>
      <c r="I37" s="3"/>
      <c r="J37" s="198" t="s">
        <v>143</v>
      </c>
      <c r="K37" s="199"/>
      <c r="L37" s="63">
        <v>700</v>
      </c>
      <c r="M37" s="63">
        <v>200</v>
      </c>
      <c r="N37" s="64">
        <v>13.5</v>
      </c>
      <c r="O37" s="63">
        <v>45000</v>
      </c>
      <c r="P37" s="65">
        <v>12.25</v>
      </c>
      <c r="Q37" s="169">
        <f t="shared" si="3"/>
        <v>5512.5</v>
      </c>
      <c r="R37" s="68">
        <v>70</v>
      </c>
      <c r="S37" s="172">
        <f>+Q37*R37/100/L17</f>
        <v>7.7175</v>
      </c>
      <c r="T37" s="63">
        <v>1100</v>
      </c>
      <c r="U37" s="174">
        <f t="shared" si="4"/>
        <v>770</v>
      </c>
      <c r="V37" s="172">
        <f>+U37/L17</f>
        <v>1.54</v>
      </c>
      <c r="W37" s="175">
        <f t="shared" si="5"/>
        <v>0.07407407407407407</v>
      </c>
      <c r="X37" s="172">
        <f t="shared" si="6"/>
        <v>8.799999999999999</v>
      </c>
      <c r="Y37" s="172">
        <f>IF(W37=" "," ",+X37*W37*1.15*L32)</f>
        <v>1.424296296296296</v>
      </c>
      <c r="Z37" s="21"/>
      <c r="AA37" s="15"/>
      <c r="AB37" s="15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3.5" customHeight="1">
      <c r="A38" s="95" t="s">
        <v>6</v>
      </c>
      <c r="B38" s="96"/>
      <c r="C38" s="96"/>
      <c r="D38" s="86"/>
      <c r="E38" s="86"/>
      <c r="F38" s="86"/>
      <c r="G38" s="86"/>
      <c r="H38" s="106"/>
      <c r="I38" s="3"/>
      <c r="J38" s="195" t="s">
        <v>122</v>
      </c>
      <c r="K38" s="195"/>
      <c r="L38" s="63">
        <v>5800</v>
      </c>
      <c r="M38" s="63">
        <v>175</v>
      </c>
      <c r="N38" s="64">
        <v>30</v>
      </c>
      <c r="O38" s="66"/>
      <c r="P38" s="67"/>
      <c r="Q38" s="169">
        <f t="shared" si="3"/>
        <v>0</v>
      </c>
      <c r="R38" s="68"/>
      <c r="S38" s="172">
        <f>+Q38*R38/100/L17</f>
        <v>0</v>
      </c>
      <c r="T38" s="63"/>
      <c r="U38" s="174">
        <f t="shared" si="4"/>
        <v>0</v>
      </c>
      <c r="V38" s="172">
        <f>+U38/L17</f>
        <v>0</v>
      </c>
      <c r="W38" s="175">
        <f t="shared" si="5"/>
        <v>0.03333333333333333</v>
      </c>
      <c r="X38" s="172">
        <f t="shared" si="6"/>
        <v>7.699999999999999</v>
      </c>
      <c r="Y38" s="172">
        <f>IF(W38=" "," ",+X38*W38*1.15*L32)</f>
        <v>0.5608166666666666</v>
      </c>
      <c r="Z38" s="21"/>
      <c r="AA38" s="15"/>
      <c r="AB38" s="15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3.5" customHeight="1">
      <c r="A39" s="95" t="s">
        <v>7</v>
      </c>
      <c r="B39" s="96"/>
      <c r="C39" s="96"/>
      <c r="D39" s="86" t="s">
        <v>22</v>
      </c>
      <c r="E39" s="105">
        <f>+Y57/L32</f>
        <v>15.099717766638813</v>
      </c>
      <c r="F39" s="73">
        <v>1.9</v>
      </c>
      <c r="G39" s="105">
        <f>+E39*F39</f>
        <v>28.689463756613744</v>
      </c>
      <c r="H39" s="106">
        <f aca="true" t="shared" si="7" ref="H39:H44">+G39/$E$8*100</f>
        <v>3.3752310301898523</v>
      </c>
      <c r="I39" s="3"/>
      <c r="J39" s="198" t="s">
        <v>144</v>
      </c>
      <c r="K39" s="199"/>
      <c r="L39" s="63"/>
      <c r="M39" s="63"/>
      <c r="N39" s="64"/>
      <c r="O39" s="63"/>
      <c r="P39" s="65"/>
      <c r="Q39" s="169">
        <f t="shared" si="3"/>
        <v>0</v>
      </c>
      <c r="R39" s="68"/>
      <c r="S39" s="172">
        <f>+Q39*R39/100/L17</f>
        <v>0</v>
      </c>
      <c r="T39" s="63"/>
      <c r="U39" s="174">
        <f t="shared" si="4"/>
        <v>0</v>
      </c>
      <c r="V39" s="172">
        <f>+U39/L17</f>
        <v>0</v>
      </c>
      <c r="W39" s="175" t="str">
        <f t="shared" si="5"/>
        <v> </v>
      </c>
      <c r="X39" s="172">
        <f t="shared" si="6"/>
        <v>0</v>
      </c>
      <c r="Y39" s="172" t="str">
        <f>IF(W39=" "," ",+X39*W39*1.15*L32)</f>
        <v> </v>
      </c>
      <c r="Z39" s="21"/>
      <c r="AA39" s="15"/>
      <c r="AB39" s="15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3.5" customHeight="1">
      <c r="A40" s="95" t="s">
        <v>8</v>
      </c>
      <c r="B40" s="96"/>
      <c r="C40" s="96"/>
      <c r="D40" s="86" t="s">
        <v>19</v>
      </c>
      <c r="E40" s="86">
        <v>1</v>
      </c>
      <c r="F40" s="105">
        <f>+W29+V57</f>
        <v>43.51200000000001</v>
      </c>
      <c r="G40" s="105">
        <f>+E40*F40</f>
        <v>43.51200000000001</v>
      </c>
      <c r="H40" s="106">
        <f t="shared" si="7"/>
        <v>5.1190588235294125</v>
      </c>
      <c r="I40" s="3"/>
      <c r="J40" s="195" t="s">
        <v>134</v>
      </c>
      <c r="K40" s="195"/>
      <c r="L40" s="63">
        <v>1000</v>
      </c>
      <c r="M40" s="63">
        <v>150</v>
      </c>
      <c r="N40" s="64">
        <v>10.5</v>
      </c>
      <c r="O40" s="63">
        <v>43000</v>
      </c>
      <c r="P40" s="65">
        <v>12.25</v>
      </c>
      <c r="Q40" s="169">
        <f t="shared" si="3"/>
        <v>5267.5</v>
      </c>
      <c r="R40" s="63">
        <v>50</v>
      </c>
      <c r="S40" s="172">
        <f>+Q40*R40/100/L17</f>
        <v>5.2675</v>
      </c>
      <c r="T40" s="63">
        <v>1100</v>
      </c>
      <c r="U40" s="174">
        <f t="shared" si="4"/>
        <v>550</v>
      </c>
      <c r="V40" s="172">
        <f>+U40/L17</f>
        <v>1.1</v>
      </c>
      <c r="W40" s="175">
        <f t="shared" si="5"/>
        <v>0.09523809523809523</v>
      </c>
      <c r="X40" s="172">
        <f t="shared" si="6"/>
        <v>6.6</v>
      </c>
      <c r="Y40" s="172">
        <f>IF(W40=" "," ",+X40*W40*1.15*L32)</f>
        <v>1.373428571428571</v>
      </c>
      <c r="Z40" s="21"/>
      <c r="AA40" s="15"/>
      <c r="AB40" s="15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3.5" customHeight="1">
      <c r="A41" s="95" t="s">
        <v>133</v>
      </c>
      <c r="B41" s="96"/>
      <c r="C41" s="96"/>
      <c r="D41" s="86" t="s">
        <v>95</v>
      </c>
      <c r="E41" s="71">
        <v>2</v>
      </c>
      <c r="F41" s="73">
        <v>6</v>
      </c>
      <c r="G41" s="105">
        <f>+E41*F41</f>
        <v>12</v>
      </c>
      <c r="H41" s="106">
        <f t="shared" si="7"/>
        <v>1.411764705882353</v>
      </c>
      <c r="I41" s="3"/>
      <c r="J41" s="195" t="s">
        <v>123</v>
      </c>
      <c r="K41" s="195"/>
      <c r="L41" s="63">
        <v>5800</v>
      </c>
      <c r="M41" s="63">
        <v>175</v>
      </c>
      <c r="N41" s="64">
        <v>30</v>
      </c>
      <c r="O41" s="66"/>
      <c r="P41" s="67"/>
      <c r="Q41" s="169">
        <f t="shared" si="3"/>
        <v>0</v>
      </c>
      <c r="R41" s="68"/>
      <c r="S41" s="172">
        <f>+Q41*R41/100/L17</f>
        <v>0</v>
      </c>
      <c r="T41" s="63"/>
      <c r="U41" s="174">
        <f t="shared" si="4"/>
        <v>0</v>
      </c>
      <c r="V41" s="172">
        <f>+U41/L17</f>
        <v>0</v>
      </c>
      <c r="W41" s="175">
        <f t="shared" si="5"/>
        <v>0.03333333333333333</v>
      </c>
      <c r="X41" s="172">
        <f t="shared" si="6"/>
        <v>7.699999999999999</v>
      </c>
      <c r="Y41" s="172">
        <f>IF(W41=" "," ",+X41*W41*1.15*L32)</f>
        <v>0.5608166666666666</v>
      </c>
      <c r="Z41" s="21"/>
      <c r="AA41" s="15"/>
      <c r="AB41" s="15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3.5" customHeight="1">
      <c r="A42" s="95" t="s">
        <v>9</v>
      </c>
      <c r="B42" s="86"/>
      <c r="C42" s="86"/>
      <c r="D42" s="86" t="s">
        <v>19</v>
      </c>
      <c r="E42" s="86">
        <v>1</v>
      </c>
      <c r="F42" s="73">
        <v>0</v>
      </c>
      <c r="G42" s="105">
        <f>+E42*F42</f>
        <v>0</v>
      </c>
      <c r="H42" s="106">
        <f t="shared" si="7"/>
        <v>0</v>
      </c>
      <c r="I42" s="3"/>
      <c r="J42" s="195" t="s">
        <v>136</v>
      </c>
      <c r="K42" s="195"/>
      <c r="L42" s="63">
        <v>700</v>
      </c>
      <c r="M42" s="63">
        <v>130</v>
      </c>
      <c r="N42" s="64">
        <v>9.5</v>
      </c>
      <c r="O42" s="63">
        <v>17000</v>
      </c>
      <c r="P42" s="65">
        <v>12.25</v>
      </c>
      <c r="Q42" s="169">
        <f t="shared" si="3"/>
        <v>2082.5</v>
      </c>
      <c r="R42" s="68">
        <v>70</v>
      </c>
      <c r="S42" s="172">
        <f>+Q42*R42/100/L17</f>
        <v>2.9155</v>
      </c>
      <c r="T42" s="63">
        <v>425</v>
      </c>
      <c r="U42" s="174">
        <f t="shared" si="4"/>
        <v>297.5</v>
      </c>
      <c r="V42" s="172">
        <f>+U42/L17</f>
        <v>0.595</v>
      </c>
      <c r="W42" s="175">
        <f t="shared" si="5"/>
        <v>0.10526315789473684</v>
      </c>
      <c r="X42" s="172">
        <f t="shared" si="6"/>
        <v>5.72</v>
      </c>
      <c r="Y42" s="172">
        <f>IF(W42=" "," ",+X42*W42*1.15*L32)</f>
        <v>1.3155999999999997</v>
      </c>
      <c r="Z42" s="21"/>
      <c r="AA42" s="15"/>
      <c r="AB42" s="15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3.5" customHeight="1">
      <c r="A43" s="95" t="s">
        <v>92</v>
      </c>
      <c r="B43" s="86" t="s">
        <v>78</v>
      </c>
      <c r="C43" s="73">
        <v>1.65</v>
      </c>
      <c r="D43" s="86" t="s">
        <v>23</v>
      </c>
      <c r="E43" s="105">
        <f>+W57*C43</f>
        <v>2.7259001670843768</v>
      </c>
      <c r="F43" s="73">
        <v>12.5</v>
      </c>
      <c r="G43" s="105">
        <f>+E43*F43</f>
        <v>34.07375208855471</v>
      </c>
      <c r="H43" s="106">
        <f t="shared" si="7"/>
        <v>4.008676716300554</v>
      </c>
      <c r="I43" s="3"/>
      <c r="J43" s="195" t="s">
        <v>124</v>
      </c>
      <c r="K43" s="195"/>
      <c r="L43" s="63">
        <v>5800</v>
      </c>
      <c r="M43" s="63">
        <v>175</v>
      </c>
      <c r="N43" s="64">
        <v>30</v>
      </c>
      <c r="O43" s="63"/>
      <c r="P43" s="65"/>
      <c r="Q43" s="169">
        <f t="shared" si="3"/>
        <v>0</v>
      </c>
      <c r="R43" s="68"/>
      <c r="S43" s="172">
        <f>+Q43*R43/100/L17</f>
        <v>0</v>
      </c>
      <c r="T43" s="63"/>
      <c r="U43" s="174">
        <f t="shared" si="4"/>
        <v>0</v>
      </c>
      <c r="V43" s="172">
        <f>+U43/L17</f>
        <v>0</v>
      </c>
      <c r="W43" s="175">
        <f t="shared" si="5"/>
        <v>0.03333333333333333</v>
      </c>
      <c r="X43" s="172">
        <f t="shared" si="6"/>
        <v>7.699999999999999</v>
      </c>
      <c r="Y43" s="172">
        <f>IF(W43=" "," ",+X43*W43*1.15*L32)</f>
        <v>0.5608166666666666</v>
      </c>
      <c r="Z43" s="21"/>
      <c r="AA43" s="15"/>
      <c r="AB43" s="15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3.5" customHeight="1">
      <c r="A44" s="95" t="s">
        <v>48</v>
      </c>
      <c r="B44" s="86" t="s">
        <v>49</v>
      </c>
      <c r="C44" s="71">
        <v>6</v>
      </c>
      <c r="D44" s="107">
        <f>SUM(G13:G43)</f>
        <v>413.0593603391685</v>
      </c>
      <c r="E44" s="105">
        <f>+C44/12</f>
        <v>0.5</v>
      </c>
      <c r="F44" s="74">
        <v>0.065</v>
      </c>
      <c r="G44" s="105">
        <f>+D44*F44*E44</f>
        <v>13.424429211022977</v>
      </c>
      <c r="H44" s="106">
        <f t="shared" si="7"/>
        <v>1.5793446130615267</v>
      </c>
      <c r="I44" s="3"/>
      <c r="J44" s="195" t="s">
        <v>125</v>
      </c>
      <c r="K44" s="195"/>
      <c r="L44" s="63">
        <v>5800</v>
      </c>
      <c r="M44" s="63">
        <v>175</v>
      </c>
      <c r="N44" s="64">
        <v>30</v>
      </c>
      <c r="O44" s="63"/>
      <c r="P44" s="65"/>
      <c r="Q44" s="169">
        <f t="shared" si="3"/>
        <v>0</v>
      </c>
      <c r="R44" s="68"/>
      <c r="S44" s="172">
        <f>+Q44*R44/100/$L$17</f>
        <v>0</v>
      </c>
      <c r="T44" s="63"/>
      <c r="U44" s="174">
        <f t="shared" si="4"/>
        <v>0</v>
      </c>
      <c r="V44" s="172">
        <f>+U44/$L$17</f>
        <v>0</v>
      </c>
      <c r="W44" s="175">
        <f t="shared" si="5"/>
        <v>0.03333333333333333</v>
      </c>
      <c r="X44" s="172">
        <f t="shared" si="6"/>
        <v>7.699999999999999</v>
      </c>
      <c r="Y44" s="172">
        <f>IF(W44=" "," ",+X44*W44*1.15*$L$32)</f>
        <v>0.5608166666666666</v>
      </c>
      <c r="Z44" s="22"/>
      <c r="AA44" s="16"/>
      <c r="AB44" s="1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3.5" customHeight="1">
      <c r="A45" s="95" t="s">
        <v>10</v>
      </c>
      <c r="B45" s="86"/>
      <c r="C45" s="86"/>
      <c r="D45" s="86"/>
      <c r="E45" s="86"/>
      <c r="F45" s="86"/>
      <c r="G45" s="105"/>
      <c r="H45" s="106"/>
      <c r="I45" s="3"/>
      <c r="J45" s="198" t="s">
        <v>142</v>
      </c>
      <c r="K45" s="199"/>
      <c r="L45" s="63">
        <v>5800</v>
      </c>
      <c r="M45" s="63">
        <v>175</v>
      </c>
      <c r="N45" s="64">
        <v>30</v>
      </c>
      <c r="O45" s="63"/>
      <c r="P45" s="63"/>
      <c r="Q45" s="169">
        <f t="shared" si="3"/>
        <v>0</v>
      </c>
      <c r="R45" s="63"/>
      <c r="S45" s="172">
        <f aca="true" t="shared" si="8" ref="S45:S50">+Q45*R45/100/$L$17</f>
        <v>0</v>
      </c>
      <c r="T45" s="63"/>
      <c r="U45" s="170"/>
      <c r="V45" s="172">
        <f aca="true" t="shared" si="9" ref="V45:V50">+U45/$L$17</f>
        <v>0</v>
      </c>
      <c r="W45" s="175">
        <f t="shared" si="5"/>
        <v>0.03333333333333333</v>
      </c>
      <c r="X45" s="172">
        <f t="shared" si="6"/>
        <v>7.699999999999999</v>
      </c>
      <c r="Y45" s="172">
        <f aca="true" t="shared" si="10" ref="Y45:Y50">IF(W45=" "," ",+X45*W45*1.15*$L$32)</f>
        <v>0.5608166666666666</v>
      </c>
      <c r="Z45" s="23"/>
      <c r="AA45" s="17"/>
      <c r="AB45" s="17"/>
      <c r="AC45" s="6"/>
      <c r="AD45" s="6"/>
      <c r="AE45" s="7"/>
      <c r="AF45" s="7"/>
      <c r="AG45" s="7"/>
      <c r="AH45" s="7"/>
      <c r="AI45" s="7"/>
      <c r="AJ45" s="9"/>
      <c r="AK45" s="9"/>
      <c r="AL45" s="9"/>
    </row>
    <row r="46" spans="1:38" ht="13.5" customHeight="1">
      <c r="A46" s="95" t="s">
        <v>11</v>
      </c>
      <c r="B46" s="86"/>
      <c r="C46" s="86"/>
      <c r="D46" s="86" t="s">
        <v>21</v>
      </c>
      <c r="E46" s="86">
        <f>+E8</f>
        <v>850</v>
      </c>
      <c r="F46" s="72">
        <v>0.08</v>
      </c>
      <c r="G46" s="105">
        <f>+E46*F46</f>
        <v>68</v>
      </c>
      <c r="H46" s="106">
        <f>+G46/$E$8*100</f>
        <v>8</v>
      </c>
      <c r="I46" s="3"/>
      <c r="J46" s="198" t="s">
        <v>145</v>
      </c>
      <c r="K46" s="199"/>
      <c r="L46" s="63">
        <v>5800</v>
      </c>
      <c r="M46" s="63">
        <v>175</v>
      </c>
      <c r="N46" s="64">
        <v>30</v>
      </c>
      <c r="O46" s="63"/>
      <c r="P46" s="63"/>
      <c r="Q46" s="169">
        <f t="shared" si="3"/>
        <v>0</v>
      </c>
      <c r="R46" s="63"/>
      <c r="S46" s="172">
        <f t="shared" si="8"/>
        <v>0</v>
      </c>
      <c r="T46" s="63"/>
      <c r="U46" s="170"/>
      <c r="V46" s="172">
        <f t="shared" si="9"/>
        <v>0</v>
      </c>
      <c r="W46" s="175">
        <f t="shared" si="5"/>
        <v>0.03333333333333333</v>
      </c>
      <c r="X46" s="172">
        <f t="shared" si="6"/>
        <v>7.699999999999999</v>
      </c>
      <c r="Y46" s="172">
        <f t="shared" si="10"/>
        <v>0.5608166666666666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3.5" customHeight="1">
      <c r="A47" s="95" t="s">
        <v>108</v>
      </c>
      <c r="B47" s="90"/>
      <c r="C47" s="90"/>
      <c r="D47" s="108" t="s">
        <v>24</v>
      </c>
      <c r="E47" s="109">
        <f>+E46/496</f>
        <v>1.7137096774193548</v>
      </c>
      <c r="F47" s="75">
        <v>0</v>
      </c>
      <c r="G47" s="109">
        <f>+E47*F47</f>
        <v>0</v>
      </c>
      <c r="H47" s="110">
        <f>+G47/E8*100</f>
        <v>0</v>
      </c>
      <c r="I47" s="3"/>
      <c r="J47" s="198" t="s">
        <v>126</v>
      </c>
      <c r="K47" s="199"/>
      <c r="L47" s="63">
        <v>5800</v>
      </c>
      <c r="M47" s="63">
        <v>175</v>
      </c>
      <c r="N47" s="64">
        <v>30</v>
      </c>
      <c r="O47" s="63"/>
      <c r="P47" s="63"/>
      <c r="Q47" s="169">
        <f t="shared" si="3"/>
        <v>0</v>
      </c>
      <c r="R47" s="63"/>
      <c r="S47" s="172">
        <f t="shared" si="8"/>
        <v>0</v>
      </c>
      <c r="T47" s="63"/>
      <c r="U47" s="170"/>
      <c r="V47" s="172">
        <f t="shared" si="9"/>
        <v>0</v>
      </c>
      <c r="W47" s="175">
        <f t="shared" si="5"/>
        <v>0.03333333333333333</v>
      </c>
      <c r="X47" s="172">
        <f t="shared" si="6"/>
        <v>7.699999999999999</v>
      </c>
      <c r="Y47" s="172">
        <f t="shared" si="10"/>
        <v>0.5608166666666666</v>
      </c>
      <c r="Z47" s="13"/>
      <c r="AA47" s="13"/>
      <c r="AB47" s="13"/>
      <c r="AC47" s="14"/>
      <c r="AD47" s="18"/>
      <c r="AE47" s="7"/>
      <c r="AF47" s="7"/>
      <c r="AG47" s="7"/>
      <c r="AH47" s="7"/>
      <c r="AI47" s="7"/>
      <c r="AJ47" s="9"/>
      <c r="AK47" s="9"/>
      <c r="AL47" s="9"/>
    </row>
    <row r="48" spans="1:38" ht="13.5" customHeight="1">
      <c r="A48" s="95" t="s">
        <v>12</v>
      </c>
      <c r="B48" s="86"/>
      <c r="C48" s="86"/>
      <c r="D48" s="86" t="s">
        <v>24</v>
      </c>
      <c r="E48" s="105">
        <f>+E46/496</f>
        <v>1.7137096774193548</v>
      </c>
      <c r="F48" s="73">
        <v>10.5</v>
      </c>
      <c r="G48" s="105">
        <f>+E48*F48</f>
        <v>17.993951612903224</v>
      </c>
      <c r="H48" s="106">
        <f>+G48/$E$8*100</f>
        <v>2.1169354838709675</v>
      </c>
      <c r="I48" s="55"/>
      <c r="J48" s="198" t="s">
        <v>127</v>
      </c>
      <c r="K48" s="199"/>
      <c r="L48" s="63">
        <v>5800</v>
      </c>
      <c r="M48" s="63">
        <v>175</v>
      </c>
      <c r="N48" s="64">
        <v>30</v>
      </c>
      <c r="O48" s="63"/>
      <c r="P48" s="63"/>
      <c r="Q48" s="169">
        <f t="shared" si="3"/>
        <v>0</v>
      </c>
      <c r="R48" s="63"/>
      <c r="S48" s="172">
        <f t="shared" si="8"/>
        <v>0</v>
      </c>
      <c r="T48" s="63"/>
      <c r="U48" s="170"/>
      <c r="V48" s="172">
        <f t="shared" si="9"/>
        <v>0</v>
      </c>
      <c r="W48" s="175">
        <f t="shared" si="5"/>
        <v>0.03333333333333333</v>
      </c>
      <c r="X48" s="172">
        <f t="shared" si="6"/>
        <v>7.699999999999999</v>
      </c>
      <c r="Y48" s="172">
        <f t="shared" si="10"/>
        <v>0.5608166666666666</v>
      </c>
      <c r="Z48" s="6"/>
      <c r="AA48" s="6"/>
      <c r="AB48" s="6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3.5" customHeight="1">
      <c r="A49" s="95" t="s">
        <v>13</v>
      </c>
      <c r="B49" s="86"/>
      <c r="C49" s="86"/>
      <c r="D49" s="86" t="s">
        <v>24</v>
      </c>
      <c r="E49" s="105">
        <f>+E46/496</f>
        <v>1.7137096774193548</v>
      </c>
      <c r="F49" s="196">
        <f>4.15+0.005*496*F8</f>
        <v>5.948</v>
      </c>
      <c r="G49" s="105">
        <f>+E49*F49</f>
        <v>10.193145161290323</v>
      </c>
      <c r="H49" s="106">
        <f>+G49/$E$8*100</f>
        <v>1.1991935483870968</v>
      </c>
      <c r="I49" s="3"/>
      <c r="J49" s="198" t="s">
        <v>128</v>
      </c>
      <c r="K49" s="199"/>
      <c r="L49" s="63">
        <v>5800</v>
      </c>
      <c r="M49" s="63">
        <v>175</v>
      </c>
      <c r="N49" s="64">
        <v>30</v>
      </c>
      <c r="O49" s="63"/>
      <c r="P49" s="63"/>
      <c r="Q49" s="169">
        <f t="shared" si="3"/>
        <v>0</v>
      </c>
      <c r="R49" s="63"/>
      <c r="S49" s="172">
        <f t="shared" si="8"/>
        <v>0</v>
      </c>
      <c r="T49" s="63"/>
      <c r="U49" s="170"/>
      <c r="V49" s="172">
        <f t="shared" si="9"/>
        <v>0</v>
      </c>
      <c r="W49" s="175">
        <f t="shared" si="5"/>
        <v>0.03333333333333333</v>
      </c>
      <c r="X49" s="172">
        <f t="shared" si="6"/>
        <v>7.699999999999999</v>
      </c>
      <c r="Y49" s="172">
        <f t="shared" si="10"/>
        <v>0.5608166666666666</v>
      </c>
      <c r="Z49" s="13"/>
      <c r="AA49" s="13"/>
      <c r="AB49" s="13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3.5" customHeight="1">
      <c r="A50" s="95" t="s">
        <v>105</v>
      </c>
      <c r="B50" s="86" t="s">
        <v>107</v>
      </c>
      <c r="C50" s="76">
        <v>0.4</v>
      </c>
      <c r="D50" s="86" t="s">
        <v>20</v>
      </c>
      <c r="E50" s="105">
        <f>+(((1-C50)-0.1)/C50)*E8/2000</f>
        <v>0.53125</v>
      </c>
      <c r="F50" s="73">
        <v>175</v>
      </c>
      <c r="G50" s="105">
        <f>-E50*F50</f>
        <v>-92.96875</v>
      </c>
      <c r="H50" s="106">
        <f>+G50/$E$8*100</f>
        <v>-10.9375</v>
      </c>
      <c r="I50" s="3"/>
      <c r="J50" s="198"/>
      <c r="K50" s="199"/>
      <c r="L50" s="63"/>
      <c r="M50" s="63"/>
      <c r="N50" s="63"/>
      <c r="O50" s="63"/>
      <c r="P50" s="63"/>
      <c r="Q50" s="169">
        <f t="shared" si="3"/>
        <v>0</v>
      </c>
      <c r="R50" s="63"/>
      <c r="S50" s="172">
        <f t="shared" si="8"/>
        <v>0</v>
      </c>
      <c r="T50" s="63"/>
      <c r="U50" s="170"/>
      <c r="V50" s="172">
        <f t="shared" si="9"/>
        <v>0</v>
      </c>
      <c r="W50" s="175" t="str">
        <f t="shared" si="5"/>
        <v> </v>
      </c>
      <c r="X50" s="172">
        <f t="shared" si="6"/>
        <v>0</v>
      </c>
      <c r="Y50" s="172" t="str">
        <f t="shared" si="10"/>
        <v> </v>
      </c>
      <c r="Z50" s="13"/>
      <c r="AA50" s="13"/>
      <c r="AB50" s="13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3.5" customHeight="1">
      <c r="A51" s="111" t="s">
        <v>5</v>
      </c>
      <c r="B51" s="94"/>
      <c r="C51" s="94"/>
      <c r="D51" s="115" t="s">
        <v>24</v>
      </c>
      <c r="E51" s="116">
        <f>+E8/496</f>
        <v>1.7137096774193548</v>
      </c>
      <c r="F51" s="73">
        <v>0.75</v>
      </c>
      <c r="G51" s="116">
        <f>+E51*F51</f>
        <v>1.285282258064516</v>
      </c>
      <c r="H51" s="119">
        <f>+G51/$E$8*100</f>
        <v>0.15120967741935484</v>
      </c>
      <c r="I51" s="3"/>
      <c r="J51" s="180" t="s">
        <v>129</v>
      </c>
      <c r="K51" s="181"/>
      <c r="L51" s="170">
        <v>500</v>
      </c>
      <c r="M51" s="63">
        <v>300</v>
      </c>
      <c r="N51" s="64">
        <v>4</v>
      </c>
      <c r="O51" s="170"/>
      <c r="P51" s="172"/>
      <c r="Q51" s="170"/>
      <c r="R51" s="169"/>
      <c r="S51" s="172"/>
      <c r="T51" s="170"/>
      <c r="U51" s="174"/>
      <c r="V51" s="172"/>
      <c r="W51" s="175">
        <f>IF(N51=0," ",1/N51)</f>
        <v>0.25</v>
      </c>
      <c r="X51" s="172">
        <f>+M51*0.044</f>
        <v>13.2</v>
      </c>
      <c r="Y51" s="172">
        <f>IF(W51=" "," ",+X51*W51*1.15*L32)</f>
        <v>7.210499999999999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3.5" customHeight="1">
      <c r="A52" s="112" t="s">
        <v>14</v>
      </c>
      <c r="B52" s="113"/>
      <c r="C52" s="113"/>
      <c r="D52" s="117"/>
      <c r="E52" s="117"/>
      <c r="F52" s="117"/>
      <c r="G52" s="120">
        <f>SUM(G13:G51)</f>
        <v>430.98741858244955</v>
      </c>
      <c r="H52" s="121">
        <f>SUM(H13:H51)</f>
        <v>50.70440218617055</v>
      </c>
      <c r="I52" s="3"/>
      <c r="J52" s="180" t="s">
        <v>75</v>
      </c>
      <c r="K52" s="181"/>
      <c r="L52" s="170">
        <v>500</v>
      </c>
      <c r="M52" s="63">
        <v>150</v>
      </c>
      <c r="N52" s="64">
        <v>4</v>
      </c>
      <c r="O52" s="63">
        <v>30000</v>
      </c>
      <c r="P52" s="65">
        <v>12.25</v>
      </c>
      <c r="Q52" s="169">
        <f>+O52*P52/100</f>
        <v>3675</v>
      </c>
      <c r="R52" s="68">
        <v>100</v>
      </c>
      <c r="S52" s="172">
        <f>+Q52*R52/100/L17</f>
        <v>7.35</v>
      </c>
      <c r="T52" s="63">
        <v>750</v>
      </c>
      <c r="U52" s="174">
        <f>+T52*R52/100</f>
        <v>750</v>
      </c>
      <c r="V52" s="172">
        <f>+U52/L17</f>
        <v>1.5</v>
      </c>
      <c r="W52" s="175">
        <f>IF(N52=0," ",1/N52)</f>
        <v>0.25</v>
      </c>
      <c r="X52" s="172">
        <f>+M52*0.044</f>
        <v>6.6</v>
      </c>
      <c r="Y52" s="172">
        <f>IF(W52=" "," ",+X52*W52*1.15*L32)</f>
        <v>3.6052499999999994</v>
      </c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8" ht="13.5" customHeight="1">
      <c r="A53" s="112" t="s">
        <v>25</v>
      </c>
      <c r="B53" s="114"/>
      <c r="C53" s="114"/>
      <c r="D53" s="118"/>
      <c r="E53" s="118"/>
      <c r="F53" s="118"/>
      <c r="G53" s="120">
        <f>+G8-G52</f>
        <v>185.26258141755045</v>
      </c>
      <c r="H53" s="122">
        <f>+H8-H52</f>
        <v>21.795597813829453</v>
      </c>
      <c r="I53" s="3"/>
      <c r="J53" s="170" t="s">
        <v>104</v>
      </c>
      <c r="K53" s="170"/>
      <c r="L53" s="170">
        <v>500</v>
      </c>
      <c r="M53" s="63">
        <v>130</v>
      </c>
      <c r="N53" s="64">
        <v>4</v>
      </c>
      <c r="O53" s="63">
        <v>34000</v>
      </c>
      <c r="P53" s="65">
        <v>12.25</v>
      </c>
      <c r="Q53" s="169">
        <f>+O53*P53/100</f>
        <v>4165</v>
      </c>
      <c r="R53" s="68">
        <v>100</v>
      </c>
      <c r="S53" s="172">
        <f>+Q53*R53/100/L17</f>
        <v>8.33</v>
      </c>
      <c r="T53" s="63">
        <v>850</v>
      </c>
      <c r="U53" s="174">
        <f>+T53*R53/100</f>
        <v>850</v>
      </c>
      <c r="V53" s="172">
        <f>+U53/L17</f>
        <v>1.7</v>
      </c>
      <c r="W53" s="175">
        <f>IF(N53=0," ",1/N53)</f>
        <v>0.25</v>
      </c>
      <c r="X53" s="172">
        <f>+M53*0.044</f>
        <v>5.72</v>
      </c>
      <c r="Y53" s="172">
        <f>IF(W53=" "," ",+X53*W53*1.15*L32)</f>
        <v>3.1245499999999997</v>
      </c>
      <c r="Z53" s="6"/>
      <c r="AA53" s="6"/>
      <c r="AB53" s="6"/>
      <c r="AC53" s="6"/>
      <c r="AD53" s="6"/>
      <c r="AE53" s="7"/>
      <c r="AF53" s="7"/>
      <c r="AG53" s="7"/>
      <c r="AH53" s="7"/>
      <c r="AI53" s="7"/>
      <c r="AJ53" s="9"/>
      <c r="AK53" s="9"/>
      <c r="AL53" s="9"/>
    </row>
    <row r="54" spans="1:38" ht="13.5" customHeight="1">
      <c r="A54" s="89"/>
      <c r="B54" s="90"/>
      <c r="C54" s="90"/>
      <c r="D54" s="90"/>
      <c r="E54" s="90"/>
      <c r="F54" s="90"/>
      <c r="G54" s="90"/>
      <c r="H54" s="100"/>
      <c r="I54" s="3"/>
      <c r="J54" s="195" t="s">
        <v>130</v>
      </c>
      <c r="K54" s="195"/>
      <c r="L54" s="63">
        <v>800</v>
      </c>
      <c r="M54" s="63">
        <v>130</v>
      </c>
      <c r="N54" s="64">
        <v>9.5</v>
      </c>
      <c r="O54" s="63">
        <v>18000</v>
      </c>
      <c r="P54" s="65">
        <v>12.25</v>
      </c>
      <c r="Q54" s="169">
        <f>+O54*P54/100</f>
        <v>2205</v>
      </c>
      <c r="R54" s="68">
        <v>63</v>
      </c>
      <c r="S54" s="172">
        <f>+Q54*R54/100/L17</f>
        <v>2.7783</v>
      </c>
      <c r="T54" s="63">
        <v>450</v>
      </c>
      <c r="U54" s="174">
        <f>+T54*R54/100</f>
        <v>283.5</v>
      </c>
      <c r="V54" s="172">
        <f>+U54/L17</f>
        <v>0.567</v>
      </c>
      <c r="W54" s="175">
        <f>IF(N54=0," ",1/N54)</f>
        <v>0.10526315789473684</v>
      </c>
      <c r="X54" s="172">
        <f>+M54*0.044</f>
        <v>5.72</v>
      </c>
      <c r="Y54" s="172">
        <f>IF(W54=" "," ",+X54*W54*1.15*L32)</f>
        <v>1.3155999999999997</v>
      </c>
      <c r="Z54" s="6"/>
      <c r="AA54" s="6"/>
      <c r="AB54" s="6"/>
      <c r="AC54" s="6"/>
      <c r="AD54" s="6"/>
      <c r="AE54" s="7"/>
      <c r="AF54" s="7"/>
      <c r="AG54" s="7"/>
      <c r="AH54" s="7"/>
      <c r="AI54" s="7"/>
      <c r="AJ54" s="9"/>
      <c r="AK54" s="9"/>
      <c r="AL54" s="9"/>
    </row>
    <row r="55" spans="1:36" ht="13.5" customHeight="1">
      <c r="A55" s="95" t="s">
        <v>26</v>
      </c>
      <c r="B55" s="96"/>
      <c r="C55" s="96"/>
      <c r="D55" s="86" t="s">
        <v>19</v>
      </c>
      <c r="E55" s="86">
        <v>1</v>
      </c>
      <c r="F55" s="105">
        <f>SUM(T21:T25)</f>
        <v>90.30175</v>
      </c>
      <c r="G55" s="105">
        <f aca="true" t="shared" si="11" ref="G55:G60">+E55*F55</f>
        <v>90.30175</v>
      </c>
      <c r="H55" s="106">
        <f aca="true" t="shared" si="12" ref="H55:H60">+G55/$E$8*100</f>
        <v>10.623735294117646</v>
      </c>
      <c r="I55" s="3"/>
      <c r="J55" s="192"/>
      <c r="K55" s="193"/>
      <c r="L55" s="63"/>
      <c r="M55" s="63"/>
      <c r="N55" s="64"/>
      <c r="O55" s="63"/>
      <c r="P55" s="63"/>
      <c r="Q55" s="170">
        <f>+O55*P55/100</f>
        <v>0</v>
      </c>
      <c r="R55" s="68"/>
      <c r="S55" s="172">
        <f>+Q55*R55/100/L17</f>
        <v>0</v>
      </c>
      <c r="T55" s="63"/>
      <c r="U55" s="174">
        <f>+T55*R55/100</f>
        <v>0</v>
      </c>
      <c r="V55" s="172">
        <f>+U55/L17</f>
        <v>0</v>
      </c>
      <c r="W55" s="175" t="str">
        <f>IF(N55=0," ",1/N55)</f>
        <v> </v>
      </c>
      <c r="X55" s="172">
        <f>+M55*0.044</f>
        <v>0</v>
      </c>
      <c r="Y55" s="172" t="str">
        <f>IF(W55=" "," ",+X55*W55*1.15*L32)</f>
        <v> </v>
      </c>
      <c r="Z55" s="6"/>
      <c r="AA55" s="3"/>
      <c r="AB55" s="3"/>
      <c r="AC55" s="3"/>
      <c r="AD55" s="3"/>
      <c r="AE55" s="4"/>
      <c r="AF55" s="4"/>
      <c r="AG55" s="4"/>
      <c r="AH55" s="4"/>
      <c r="AI55" s="4"/>
      <c r="AJ55" s="9"/>
    </row>
    <row r="56" spans="1:36" ht="13.5" customHeight="1">
      <c r="A56" s="95" t="s">
        <v>33</v>
      </c>
      <c r="B56" s="96"/>
      <c r="C56" s="96"/>
      <c r="D56" s="86" t="s">
        <v>19</v>
      </c>
      <c r="E56" s="86">
        <v>1</v>
      </c>
      <c r="F56" s="105">
        <f>+S57-S51-S52-S53</f>
        <v>23.333800000000004</v>
      </c>
      <c r="G56" s="105">
        <f t="shared" si="11"/>
        <v>23.333800000000004</v>
      </c>
      <c r="H56" s="106">
        <f t="shared" si="12"/>
        <v>2.745152941176471</v>
      </c>
      <c r="I56" s="3"/>
      <c r="J56" s="198"/>
      <c r="K56" s="199"/>
      <c r="L56" s="63"/>
      <c r="M56" s="63"/>
      <c r="N56" s="64"/>
      <c r="O56" s="63"/>
      <c r="P56" s="63"/>
      <c r="Q56" s="170">
        <f>+O56*P56/100</f>
        <v>0</v>
      </c>
      <c r="R56" s="68"/>
      <c r="S56" s="172">
        <f>+Q56*R56/100/L17</f>
        <v>0</v>
      </c>
      <c r="T56" s="63"/>
      <c r="U56" s="174"/>
      <c r="V56" s="172"/>
      <c r="W56" s="175"/>
      <c r="X56" s="176"/>
      <c r="Y56" s="172"/>
      <c r="Z56" s="6"/>
      <c r="AA56" s="3"/>
      <c r="AB56" s="3"/>
      <c r="AC56" s="3"/>
      <c r="AD56" s="3"/>
      <c r="AE56" s="4"/>
      <c r="AF56" s="4"/>
      <c r="AG56" s="4"/>
      <c r="AH56" s="4"/>
      <c r="AI56" s="4"/>
      <c r="AJ56" s="9"/>
    </row>
    <row r="57" spans="1:35" ht="13.5" customHeight="1">
      <c r="A57" s="95" t="s">
        <v>77</v>
      </c>
      <c r="B57" s="96"/>
      <c r="C57" s="96"/>
      <c r="D57" s="86" t="s">
        <v>19</v>
      </c>
      <c r="E57" s="86">
        <v>1</v>
      </c>
      <c r="F57" s="105">
        <f>+T27+S52+S53</f>
        <v>99.38</v>
      </c>
      <c r="G57" s="105">
        <f t="shared" si="11"/>
        <v>99.38</v>
      </c>
      <c r="H57" s="106">
        <f t="shared" si="12"/>
        <v>11.691764705882353</v>
      </c>
      <c r="I57" s="3"/>
      <c r="J57" s="182" t="s">
        <v>66</v>
      </c>
      <c r="K57" s="178"/>
      <c r="L57" s="178"/>
      <c r="M57" s="178"/>
      <c r="N57" s="178"/>
      <c r="O57" s="178"/>
      <c r="P57" s="178"/>
      <c r="Q57" s="171">
        <f>SUM(Q35:Q56)</f>
        <v>25235</v>
      </c>
      <c r="R57" s="171">
        <f>+S57*L17</f>
        <v>19506.9</v>
      </c>
      <c r="S57" s="173">
        <f>SUM(S35:S56)</f>
        <v>39.0138</v>
      </c>
      <c r="T57" s="171">
        <f>SUM(T35:T56)</f>
        <v>5175</v>
      </c>
      <c r="U57" s="171">
        <f>SUM(U35:U56)</f>
        <v>4001</v>
      </c>
      <c r="V57" s="173">
        <f>SUM(V35:V56)</f>
        <v>8.002</v>
      </c>
      <c r="W57" s="177">
        <f>SUM(W35:W56)</f>
        <v>1.652060707323865</v>
      </c>
      <c r="X57" s="178"/>
      <c r="Y57" s="179">
        <f>SUM(Y35:Y56)</f>
        <v>28.689463756613744</v>
      </c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5" ht="13.5" customHeight="1">
      <c r="A58" s="95" t="s">
        <v>27</v>
      </c>
      <c r="B58" s="96"/>
      <c r="C58" s="96"/>
      <c r="D58" s="86" t="s">
        <v>19</v>
      </c>
      <c r="E58" s="86">
        <v>1</v>
      </c>
      <c r="F58" s="73">
        <v>0</v>
      </c>
      <c r="G58" s="105">
        <f t="shared" si="11"/>
        <v>0</v>
      </c>
      <c r="H58" s="106">
        <f t="shared" si="12"/>
        <v>0</v>
      </c>
      <c r="I58" s="3"/>
      <c r="J58" s="51" t="s">
        <v>137</v>
      </c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5" ht="13.5" customHeight="1">
      <c r="A59" s="95" t="s">
        <v>28</v>
      </c>
      <c r="B59" s="96"/>
      <c r="C59" s="96"/>
      <c r="D59" s="86" t="s">
        <v>47</v>
      </c>
      <c r="E59" s="107">
        <f>+G52</f>
        <v>430.98741858244955</v>
      </c>
      <c r="F59" s="77">
        <v>0.05</v>
      </c>
      <c r="G59" s="105">
        <f t="shared" si="11"/>
        <v>21.549370929122478</v>
      </c>
      <c r="H59" s="106">
        <f t="shared" si="12"/>
        <v>2.535220109308527</v>
      </c>
      <c r="I59" s="3"/>
      <c r="J59" s="3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5" ht="13.5" customHeight="1">
      <c r="A60" s="111" t="s">
        <v>29</v>
      </c>
      <c r="B60" s="94"/>
      <c r="C60" s="94"/>
      <c r="D60" s="115" t="s">
        <v>47</v>
      </c>
      <c r="E60" s="183">
        <f>+G52</f>
        <v>430.98741858244955</v>
      </c>
      <c r="F60" s="77">
        <v>0.05</v>
      </c>
      <c r="G60" s="116">
        <f t="shared" si="11"/>
        <v>21.549370929122478</v>
      </c>
      <c r="H60" s="119">
        <f t="shared" si="12"/>
        <v>2.535220109308527</v>
      </c>
      <c r="I60" s="3"/>
      <c r="J60" s="52" t="s">
        <v>131</v>
      </c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53" t="s">
        <v>146</v>
      </c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5" ht="13.5" customHeight="1">
      <c r="A61" s="112" t="s">
        <v>30</v>
      </c>
      <c r="B61" s="114"/>
      <c r="C61" s="114"/>
      <c r="D61" s="118"/>
      <c r="E61" s="118"/>
      <c r="F61" s="118"/>
      <c r="G61" s="120">
        <f>SUM(G55:G60)</f>
        <v>256.11429185824494</v>
      </c>
      <c r="H61" s="122">
        <f>SUM(H55:H60)</f>
        <v>30.131093159793522</v>
      </c>
      <c r="I61" s="3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5" ht="13.5" customHeight="1">
      <c r="A62" s="89"/>
      <c r="B62" s="90"/>
      <c r="C62" s="90"/>
      <c r="D62" s="90"/>
      <c r="E62" s="90"/>
      <c r="F62" s="90"/>
      <c r="G62" s="90"/>
      <c r="H62" s="100"/>
      <c r="I62" s="3"/>
      <c r="J62" s="220" t="s">
        <v>86</v>
      </c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2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5" ht="13.5" customHeight="1">
      <c r="A63" s="112" t="s">
        <v>31</v>
      </c>
      <c r="B63" s="114"/>
      <c r="C63" s="114"/>
      <c r="D63" s="118"/>
      <c r="E63" s="118"/>
      <c r="F63" s="118"/>
      <c r="G63" s="120">
        <f>+G52+G61</f>
        <v>687.1017104406944</v>
      </c>
      <c r="H63" s="122">
        <f>+H52+H61</f>
        <v>80.83549534596406</v>
      </c>
      <c r="I63" s="3"/>
      <c r="J63" s="226" t="s">
        <v>152</v>
      </c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27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5" ht="13.5" customHeight="1">
      <c r="A64" s="112" t="s">
        <v>32</v>
      </c>
      <c r="B64" s="114"/>
      <c r="C64" s="114"/>
      <c r="D64" s="118"/>
      <c r="E64" s="118"/>
      <c r="F64" s="118"/>
      <c r="G64" s="120">
        <f>+G8-G63</f>
        <v>-70.85171044069443</v>
      </c>
      <c r="H64" s="122">
        <f>+H8-H63</f>
        <v>-8.335495345964063</v>
      </c>
      <c r="I64" s="3"/>
      <c r="J64" s="228" t="s">
        <v>135</v>
      </c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30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5" ht="13.5" customHeight="1">
      <c r="A65" s="184" t="s">
        <v>151</v>
      </c>
      <c r="B65" s="90"/>
      <c r="C65" s="90"/>
      <c r="D65" s="90"/>
      <c r="E65" s="90"/>
      <c r="F65" s="90"/>
      <c r="G65" s="90"/>
      <c r="H65" s="100"/>
      <c r="I65" s="3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5" ht="17.25" customHeight="1">
      <c r="A66" s="184" t="s">
        <v>149</v>
      </c>
      <c r="B66" s="185"/>
      <c r="C66" s="185"/>
      <c r="D66" s="185"/>
      <c r="E66" s="185"/>
      <c r="F66" s="185"/>
      <c r="G66" s="189"/>
      <c r="H66" s="190"/>
      <c r="I66" s="3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5" ht="13.5" customHeight="1">
      <c r="A67" s="89"/>
      <c r="B67" s="90"/>
      <c r="C67" s="90"/>
      <c r="D67" s="90"/>
      <c r="E67" s="90"/>
      <c r="F67" s="90"/>
      <c r="G67" s="90"/>
      <c r="H67" s="100"/>
      <c r="I67" s="3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5" ht="13.5" customHeight="1">
      <c r="A68" s="186" t="s">
        <v>132</v>
      </c>
      <c r="B68" s="187"/>
      <c r="C68" s="187"/>
      <c r="D68" s="187"/>
      <c r="E68" s="187"/>
      <c r="F68" s="90"/>
      <c r="G68" s="90"/>
      <c r="H68" s="100"/>
      <c r="I68" s="3"/>
      <c r="J68" s="44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5" ht="13.5" customHeight="1">
      <c r="A69" s="188" t="s">
        <v>146</v>
      </c>
      <c r="B69" s="187"/>
      <c r="C69" s="187"/>
      <c r="D69" s="187"/>
      <c r="E69" s="187"/>
      <c r="F69" s="90"/>
      <c r="G69" s="90"/>
      <c r="H69" s="100"/>
      <c r="I69" s="3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5" ht="13.5" customHeight="1">
      <c r="A70" s="197" t="s">
        <v>148</v>
      </c>
      <c r="B70" s="135"/>
      <c r="C70" s="135"/>
      <c r="D70" s="135"/>
      <c r="E70" s="135"/>
      <c r="F70" s="97"/>
      <c r="G70" s="97"/>
      <c r="H70" s="191"/>
      <c r="I70" s="3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5" ht="13.5" customHeight="1">
      <c r="A71" s="44"/>
      <c r="B71" s="44"/>
      <c r="C71" s="44"/>
      <c r="D71" s="44"/>
      <c r="E71" s="44"/>
      <c r="F71" s="44"/>
      <c r="G71" s="44"/>
      <c r="H71" s="44"/>
      <c r="I71" s="4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5" ht="13.5" customHeight="1">
      <c r="A72" s="44"/>
      <c r="B72" s="44"/>
      <c r="C72" s="44"/>
      <c r="D72" s="44"/>
      <c r="E72" s="44"/>
      <c r="F72" s="44"/>
      <c r="G72" s="44"/>
      <c r="H72" s="44"/>
      <c r="I72" s="4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4"/>
      <c r="AF72" s="4"/>
      <c r="AG72" s="4"/>
      <c r="AH72" s="4"/>
      <c r="AI72" s="4"/>
    </row>
    <row r="73" spans="1:35" ht="13.5" customHeight="1">
      <c r="A73" s="44"/>
      <c r="B73" s="44"/>
      <c r="C73" s="44"/>
      <c r="D73" s="44"/>
      <c r="E73" s="44"/>
      <c r="F73" s="44"/>
      <c r="G73" s="44"/>
      <c r="H73" s="44"/>
      <c r="I73" s="4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4"/>
      <c r="AF73" s="4"/>
      <c r="AG73" s="4"/>
      <c r="AH73" s="4"/>
      <c r="AI73" s="4"/>
    </row>
    <row r="74" spans="1:35" ht="16.5" customHeight="1">
      <c r="A74" s="44"/>
      <c r="B74" s="44"/>
      <c r="C74" s="44"/>
      <c r="D74" s="44"/>
      <c r="E74" s="44"/>
      <c r="F74" s="44"/>
      <c r="G74" s="44"/>
      <c r="H74" s="44"/>
      <c r="I74" s="44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4"/>
      <c r="AF74" s="4"/>
      <c r="AG74" s="4"/>
      <c r="AH74" s="4"/>
      <c r="AI74" s="4"/>
    </row>
    <row r="75" spans="1:30" ht="13.5" customHeight="1">
      <c r="A75" s="44"/>
      <c r="B75" s="44"/>
      <c r="C75" s="44"/>
      <c r="D75" s="44"/>
      <c r="E75" s="44"/>
      <c r="F75" s="44"/>
      <c r="G75" s="44"/>
      <c r="H75" s="44"/>
      <c r="I75" s="44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2"/>
      <c r="AB75" s="2"/>
      <c r="AC75" s="2"/>
      <c r="AD75" s="2"/>
    </row>
    <row r="76" spans="1:35" ht="13.5" customHeight="1">
      <c r="A76" s="47"/>
      <c r="B76" s="47"/>
      <c r="C76" s="47"/>
      <c r="D76" s="47"/>
      <c r="E76" s="47"/>
      <c r="F76" s="47"/>
      <c r="G76" s="47"/>
      <c r="H76" s="47"/>
      <c r="I76" s="44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3.5" customHeight="1">
      <c r="A77" s="48"/>
      <c r="B77" s="48"/>
      <c r="C77" s="48"/>
      <c r="D77" s="48"/>
      <c r="E77" s="47"/>
      <c r="F77" s="47"/>
      <c r="G77" s="47"/>
      <c r="H77" s="4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3.5" customHeight="1">
      <c r="A78" s="46"/>
      <c r="B78" s="46"/>
      <c r="C78" s="46"/>
      <c r="D78" s="46"/>
      <c r="E78" s="46"/>
      <c r="F78" s="46"/>
      <c r="G78" s="46"/>
      <c r="H78" s="46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3.5" customHeight="1">
      <c r="A79" s="43"/>
      <c r="B79" s="43"/>
      <c r="C79" s="43"/>
      <c r="D79" s="43"/>
      <c r="E79" s="43"/>
      <c r="F79" s="43"/>
      <c r="G79" s="43"/>
      <c r="H79" s="4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" customHeight="1">
      <c r="A80" s="43"/>
      <c r="B80" s="43"/>
      <c r="C80" s="43"/>
      <c r="D80" s="43"/>
      <c r="E80" s="43"/>
      <c r="F80" s="43"/>
      <c r="G80" s="43"/>
      <c r="H80" s="4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5" customHeight="1">
      <c r="A81" s="43"/>
      <c r="B81" s="43"/>
      <c r="C81" s="43"/>
      <c r="D81" s="43"/>
      <c r="E81" s="43"/>
      <c r="F81" s="43"/>
      <c r="G81" s="43"/>
      <c r="H81" s="4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4"/>
      <c r="AC81" s="4"/>
      <c r="AD81" s="4"/>
      <c r="AE81" s="4"/>
      <c r="AF81" s="4"/>
      <c r="AG81" s="4"/>
      <c r="AH81" s="4"/>
      <c r="AI81" s="4"/>
    </row>
    <row r="82" spans="1:35" ht="15" customHeight="1">
      <c r="A82" s="37"/>
      <c r="B82" s="38"/>
      <c r="C82" s="38"/>
      <c r="D82" s="38"/>
      <c r="E82" s="38"/>
      <c r="F82" s="38"/>
      <c r="G82" s="39"/>
      <c r="H82" s="40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4"/>
      <c r="AB82" s="4"/>
      <c r="AC82" s="4"/>
      <c r="AD82" s="4"/>
      <c r="AE82" s="4"/>
      <c r="AF82" s="4"/>
      <c r="AG82" s="4"/>
      <c r="AH82" s="4"/>
      <c r="AI82" s="4"/>
    </row>
    <row r="83" spans="1:36" s="1" customFormat="1" ht="15" customHeight="1">
      <c r="A83" s="37"/>
      <c r="B83" s="38"/>
      <c r="C83" s="38"/>
      <c r="D83" s="38"/>
      <c r="E83" s="38"/>
      <c r="F83" s="38"/>
      <c r="G83" s="39"/>
      <c r="H83" s="36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5"/>
      <c r="AB83" s="5"/>
      <c r="AC83" s="5"/>
      <c r="AD83" s="5"/>
      <c r="AE83" s="5"/>
      <c r="AF83" s="5"/>
      <c r="AG83" s="5"/>
      <c r="AH83" s="5"/>
      <c r="AI83" s="5"/>
      <c r="AJ83"/>
    </row>
    <row r="84" spans="1:35" ht="15" customHeight="1">
      <c r="A84" s="2"/>
      <c r="B84" s="2"/>
      <c r="C84" s="2"/>
      <c r="D84" s="2"/>
      <c r="E84" s="2"/>
      <c r="F84" s="2"/>
      <c r="G84" s="2"/>
      <c r="H84" s="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4"/>
      <c r="AB84" s="4"/>
      <c r="AC84" s="4"/>
      <c r="AD84" s="4"/>
      <c r="AE84" s="4"/>
      <c r="AF84" s="4"/>
      <c r="AG84" s="4"/>
      <c r="AH84" s="4"/>
      <c r="AI84" s="4"/>
    </row>
    <row r="85" spans="1:36" ht="12.75">
      <c r="A85" s="2"/>
      <c r="B85" s="2"/>
      <c r="C85" s="2"/>
      <c r="D85" s="2"/>
      <c r="E85" s="2"/>
      <c r="F85" s="2"/>
      <c r="G85" s="2"/>
      <c r="H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J85" s="1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</sheetData>
  <sheetProtection sheet="1" formatCells="0"/>
  <mergeCells count="33">
    <mergeCell ref="J64:Y64"/>
    <mergeCell ref="J39:K39"/>
    <mergeCell ref="J45:K45"/>
    <mergeCell ref="J46:K46"/>
    <mergeCell ref="J47:K47"/>
    <mergeCell ref="J48:K48"/>
    <mergeCell ref="J49:K49"/>
    <mergeCell ref="J50:K50"/>
    <mergeCell ref="J56:K56"/>
    <mergeCell ref="J62:Y62"/>
    <mergeCell ref="J21:K21"/>
    <mergeCell ref="M18:P18"/>
    <mergeCell ref="Q18:T18"/>
    <mergeCell ref="U18:W18"/>
    <mergeCell ref="J63:Y63"/>
    <mergeCell ref="R33:S33"/>
    <mergeCell ref="W33:Y33"/>
    <mergeCell ref="M5:O5"/>
    <mergeCell ref="A1:H1"/>
    <mergeCell ref="B5:C5"/>
    <mergeCell ref="A2:H2"/>
    <mergeCell ref="J22:K22"/>
    <mergeCell ref="J23:K23"/>
    <mergeCell ref="J36:K36"/>
    <mergeCell ref="J37:K37"/>
    <mergeCell ref="J35:K35"/>
    <mergeCell ref="T33:V33"/>
    <mergeCell ref="J1:Y1"/>
    <mergeCell ref="J2:Y2"/>
    <mergeCell ref="L4:U4"/>
    <mergeCell ref="P5:R5"/>
    <mergeCell ref="S5:U5"/>
    <mergeCell ref="O33:Q33"/>
  </mergeCells>
  <printOptions horizontalCentered="1" verticalCentered="1"/>
  <pageMargins left="0.25" right="0.25" top="0.375" bottom="0.375" header="0" footer="0"/>
  <pageSetup fitToHeight="1" fitToWidth="1" horizontalDpi="600" verticalDpi="600" orientation="landscape" scale="46" r:id="rId2"/>
  <colBreaks count="1" manualBreakCount="1">
    <brk id="9" max="72" man="1"/>
  </colBreaks>
  <ignoredErrors>
    <ignoredError sqref="G15:H15 R57 G26 H47 G50" formula="1"/>
    <ignoredError sqref="H5 F4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UGA\CAES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dshurley</dc:creator>
  <cp:keywords/>
  <dc:description/>
  <cp:lastModifiedBy>W. Don Shurley, Jr.</cp:lastModifiedBy>
  <cp:lastPrinted>2017-03-10T18:27:46Z</cp:lastPrinted>
  <dcterms:created xsi:type="dcterms:W3CDTF">2005-11-29T13:52:22Z</dcterms:created>
  <dcterms:modified xsi:type="dcterms:W3CDTF">2017-03-10T18:30:00Z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